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1e482bac83a0f960/Desktop/AirBNB feasibility Plan/"/>
    </mc:Choice>
  </mc:AlternateContent>
  <xr:revisionPtr revIDLastSave="0" documentId="11_2FF7E0A4C800F491219D812D5AB7E7EF129F6430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มมติฐาน" sheetId="1" r:id="rId1"/>
    <sheet name="P&amp;L รายเดือน" sheetId="2" r:id="rId2"/>
    <sheet name="จุดคุ้มทุน-คืนทุน" sheetId="3" r:id="rId3"/>
    <sheet name="กระแสเงินสด" sheetId="4" r:id="rId4"/>
    <sheet name="ส่วนแบ่งหุ้นส่วน" sheetId="5" r:id="rId5"/>
    <sheet name="P&amp;L ปัจจุบัน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6" l="1"/>
  <c r="D35" i="6"/>
  <c r="D34" i="6"/>
  <c r="D33" i="6"/>
  <c r="D32" i="6"/>
  <c r="D31" i="6"/>
  <c r="D30" i="6"/>
  <c r="D29" i="6"/>
  <c r="D28" i="6"/>
  <c r="D24" i="6"/>
  <c r="D23" i="6"/>
  <c r="D19" i="6"/>
  <c r="D18" i="6"/>
  <c r="D16" i="6"/>
  <c r="D17" i="6" s="1"/>
  <c r="D14" i="6"/>
  <c r="D15" i="6" s="1"/>
  <c r="D12" i="6"/>
  <c r="D13" i="6" s="1"/>
  <c r="D8" i="6"/>
  <c r="D7" i="6"/>
  <c r="D6" i="6"/>
  <c r="D5" i="6"/>
  <c r="H18" i="5"/>
  <c r="G18" i="5"/>
  <c r="F18" i="5"/>
  <c r="E18" i="5"/>
  <c r="D18" i="5"/>
  <c r="D7" i="5"/>
  <c r="D5" i="5"/>
  <c r="E4" i="3"/>
  <c r="D4" i="3"/>
  <c r="F41" i="2"/>
  <c r="E41" i="2"/>
  <c r="D41" i="2"/>
  <c r="H39" i="2"/>
  <c r="G39" i="2"/>
  <c r="F39" i="2"/>
  <c r="E39" i="2"/>
  <c r="D39" i="2"/>
  <c r="H25" i="2"/>
  <c r="G25" i="2"/>
  <c r="F25" i="2"/>
  <c r="E25" i="2"/>
  <c r="D25" i="2"/>
  <c r="H24" i="2"/>
  <c r="G24" i="2"/>
  <c r="F24" i="2"/>
  <c r="E24" i="2"/>
  <c r="D24" i="2"/>
  <c r="H23" i="2"/>
  <c r="G23" i="2"/>
  <c r="F23" i="2"/>
  <c r="E23" i="2"/>
  <c r="D23" i="2"/>
  <c r="H22" i="2"/>
  <c r="G22" i="2"/>
  <c r="F22" i="2"/>
  <c r="E22" i="2"/>
  <c r="D22" i="2"/>
  <c r="H21" i="2"/>
  <c r="G21" i="2"/>
  <c r="F21" i="2"/>
  <c r="E21" i="2"/>
  <c r="D21" i="2"/>
  <c r="H20" i="2"/>
  <c r="G20" i="2"/>
  <c r="F20" i="2"/>
  <c r="E20" i="2"/>
  <c r="D20" i="2"/>
  <c r="H19" i="2"/>
  <c r="G19" i="2"/>
  <c r="F19" i="2"/>
  <c r="E19" i="2"/>
  <c r="D19" i="2"/>
  <c r="H18" i="2"/>
  <c r="G18" i="2"/>
  <c r="F18" i="2"/>
  <c r="E18" i="2"/>
  <c r="D18" i="2"/>
  <c r="H13" i="2"/>
  <c r="G13" i="2"/>
  <c r="F13" i="2"/>
  <c r="E13" i="2"/>
  <c r="D13" i="2"/>
  <c r="H12" i="2"/>
  <c r="G12" i="2"/>
  <c r="F12" i="2"/>
  <c r="E12" i="2"/>
  <c r="D12" i="2"/>
  <c r="H4" i="2"/>
  <c r="G4" i="2"/>
  <c r="G6" i="2" s="1"/>
  <c r="F4" i="2"/>
  <c r="F5" i="2" s="1"/>
  <c r="E4" i="2"/>
  <c r="E7" i="2" s="1"/>
  <c r="D4" i="2"/>
  <c r="D7" i="2" s="1"/>
  <c r="D62" i="1"/>
  <c r="D6" i="5" s="1"/>
  <c r="D56" i="1"/>
  <c r="D57" i="1" s="1"/>
  <c r="D43" i="1"/>
  <c r="D9" i="6" s="1"/>
  <c r="D26" i="1"/>
  <c r="D29" i="5" s="1"/>
  <c r="D23" i="1"/>
  <c r="D10" i="1"/>
  <c r="D6" i="4" l="1"/>
  <c r="D12" i="4" s="1"/>
  <c r="F6" i="2"/>
  <c r="D6" i="2"/>
  <c r="E6" i="2"/>
  <c r="F26" i="2"/>
  <c r="F7" i="2"/>
  <c r="G26" i="2"/>
  <c r="G7" i="2"/>
  <c r="H26" i="2"/>
  <c r="H27" i="2" s="1"/>
  <c r="E26" i="2"/>
  <c r="E27" i="2" s="1"/>
  <c r="D8" i="2"/>
  <c r="D5" i="2"/>
  <c r="D9" i="2" s="1"/>
  <c r="D20" i="6"/>
  <c r="D21" i="6" s="1"/>
  <c r="E8" i="2"/>
  <c r="E5" i="2"/>
  <c r="F8" i="2"/>
  <c r="D25" i="1"/>
  <c r="G8" i="2"/>
  <c r="D26" i="2"/>
  <c r="G5" i="2"/>
  <c r="G9" i="2" s="1"/>
  <c r="D27" i="2"/>
  <c r="F9" i="2"/>
  <c r="F27" i="2"/>
  <c r="H5" i="2"/>
  <c r="H7" i="2"/>
  <c r="H6" i="2"/>
  <c r="H8" i="2"/>
  <c r="H41" i="2"/>
  <c r="G41" i="2"/>
  <c r="D49" i="6"/>
  <c r="G27" i="2"/>
  <c r="E5" i="3"/>
  <c r="D5" i="3"/>
  <c r="E20" i="4"/>
  <c r="D8" i="3"/>
  <c r="H20" i="4"/>
  <c r="E6" i="4"/>
  <c r="E12" i="4" s="1"/>
  <c r="D36" i="6"/>
  <c r="D37" i="6" s="1"/>
  <c r="H6" i="4"/>
  <c r="H12" i="4" s="1"/>
  <c r="D20" i="4"/>
  <c r="F20" i="4"/>
  <c r="D56" i="6"/>
  <c r="F6" i="4"/>
  <c r="F12" i="4" s="1"/>
  <c r="G6" i="4"/>
  <c r="G12" i="4" s="1"/>
  <c r="G20" i="4"/>
  <c r="E9" i="2" l="1"/>
  <c r="G10" i="2"/>
  <c r="G11" i="2"/>
  <c r="G15" i="2" s="1"/>
  <c r="G34" i="2"/>
  <c r="G35" i="2" s="1"/>
  <c r="G14" i="2"/>
  <c r="D10" i="2"/>
  <c r="D34" i="2"/>
  <c r="D14" i="2"/>
  <c r="D22" i="6"/>
  <c r="D25" i="6" s="1"/>
  <c r="D39" i="6" s="1"/>
  <c r="D42" i="6" s="1"/>
  <c r="D11" i="2"/>
  <c r="D15" i="2" s="1"/>
  <c r="D29" i="2" s="1"/>
  <c r="D43" i="6"/>
  <c r="D45" i="6" s="1"/>
  <c r="H9" i="2"/>
  <c r="E10" i="2"/>
  <c r="E14" i="2"/>
  <c r="E11" i="2"/>
  <c r="E15" i="2" s="1"/>
  <c r="E34" i="2"/>
  <c r="F10" i="2"/>
  <c r="F34" i="2"/>
  <c r="F11" i="2"/>
  <c r="F15" i="2" s="1"/>
  <c r="F14" i="2"/>
  <c r="G29" i="2"/>
  <c r="G36" i="2" l="1"/>
  <c r="D36" i="2"/>
  <c r="D35" i="2"/>
  <c r="D37" i="2"/>
  <c r="D44" i="6"/>
  <c r="G37" i="2"/>
  <c r="G38" i="2" s="1"/>
  <c r="F29" i="2"/>
  <c r="F35" i="2"/>
  <c r="F37" i="2"/>
  <c r="F36" i="2"/>
  <c r="E29" i="2"/>
  <c r="D31" i="2"/>
  <c r="D30" i="2"/>
  <c r="G31" i="2"/>
  <c r="G30" i="2"/>
  <c r="H10" i="2"/>
  <c r="H11" i="2" s="1"/>
  <c r="H15" i="2" s="1"/>
  <c r="H34" i="2"/>
  <c r="H14" i="2"/>
  <c r="D46" i="6"/>
  <c r="D48" i="6" s="1"/>
  <c r="E37" i="2"/>
  <c r="E35" i="2"/>
  <c r="E36" i="2"/>
  <c r="E38" i="2" s="1"/>
  <c r="F38" i="2" l="1"/>
  <c r="G40" i="2"/>
  <c r="D38" i="2"/>
  <c r="D40" i="2" s="1"/>
  <c r="D42" i="2" s="1"/>
  <c r="D43" i="2" s="1"/>
  <c r="D44" i="2" s="1"/>
  <c r="D45" i="2" s="1"/>
  <c r="H29" i="2"/>
  <c r="E31" i="2"/>
  <c r="E40" i="2" s="1"/>
  <c r="E30" i="2"/>
  <c r="G42" i="2"/>
  <c r="G43" i="2" s="1"/>
  <c r="G44" i="2" s="1"/>
  <c r="G45" i="2" s="1"/>
  <c r="D50" i="6"/>
  <c r="D51" i="6" s="1"/>
  <c r="D52" i="6" s="1"/>
  <c r="D53" i="6" s="1"/>
  <c r="H37" i="2"/>
  <c r="H36" i="2"/>
  <c r="H38" i="2" s="1"/>
  <c r="H35" i="2"/>
  <c r="F30" i="2"/>
  <c r="F31" i="2"/>
  <c r="F40" i="2" s="1"/>
  <c r="D12" i="3" l="1"/>
  <c r="D7" i="4"/>
  <c r="D13" i="4" s="1"/>
  <c r="D9" i="4"/>
  <c r="D11" i="5"/>
  <c r="D8" i="4"/>
  <c r="D21" i="4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D46" i="2"/>
  <c r="D57" i="6"/>
  <c r="D62" i="6"/>
  <c r="D63" i="6" s="1"/>
  <c r="D60" i="6"/>
  <c r="G9" i="4"/>
  <c r="G8" i="4"/>
  <c r="G11" i="5"/>
  <c r="G7" i="4"/>
  <c r="G13" i="4" s="1"/>
  <c r="G12" i="3"/>
  <c r="G46" i="2"/>
  <c r="G21" i="4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G52" i="4" s="1"/>
  <c r="G53" i="4" s="1"/>
  <c r="G54" i="4" s="1"/>
  <c r="G55" i="4" s="1"/>
  <c r="G56" i="4" s="1"/>
  <c r="H30" i="2"/>
  <c r="H31" i="2"/>
  <c r="H40" i="2" s="1"/>
  <c r="E42" i="2"/>
  <c r="E43" i="2" s="1"/>
  <c r="E44" i="2" s="1"/>
  <c r="E45" i="2" s="1"/>
  <c r="F42" i="2"/>
  <c r="F43" i="2" s="1"/>
  <c r="F44" i="2" s="1"/>
  <c r="F45" i="2" s="1"/>
  <c r="G14" i="4" l="1"/>
  <c r="G15" i="4" s="1"/>
  <c r="F7" i="4"/>
  <c r="F13" i="4" s="1"/>
  <c r="F11" i="5"/>
  <c r="F9" i="4"/>
  <c r="F8" i="4"/>
  <c r="F12" i="3"/>
  <c r="F21" i="4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46" i="2"/>
  <c r="E7" i="4"/>
  <c r="E13" i="4" s="1"/>
  <c r="E9" i="4"/>
  <c r="E11" i="5"/>
  <c r="E12" i="3"/>
  <c r="E8" i="4"/>
  <c r="E21" i="4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E46" i="2"/>
  <c r="H42" i="2"/>
  <c r="H43" i="2" s="1"/>
  <c r="H44" i="2"/>
  <c r="H45" i="2" s="1"/>
  <c r="D67" i="6"/>
  <c r="D61" i="6"/>
  <c r="D16" i="5"/>
  <c r="D12" i="5"/>
  <c r="G13" i="3"/>
  <c r="G16" i="3"/>
  <c r="D14" i="4"/>
  <c r="D15" i="4" s="1"/>
  <c r="G16" i="5"/>
  <c r="G12" i="5"/>
  <c r="D16" i="3"/>
  <c r="D13" i="3"/>
  <c r="G17" i="5" l="1"/>
  <c r="G19" i="5" s="1"/>
  <c r="G26" i="5" s="1"/>
  <c r="D37" i="5"/>
  <c r="D13" i="5"/>
  <c r="D14" i="5" s="1"/>
  <c r="E14" i="4"/>
  <c r="E15" i="4" s="1"/>
  <c r="D17" i="5"/>
  <c r="D19" i="5" s="1"/>
  <c r="D26" i="5" s="1"/>
  <c r="E13" i="3"/>
  <c r="E16" i="3"/>
  <c r="D72" i="6"/>
  <c r="D64" i="6"/>
  <c r="D68" i="6"/>
  <c r="D69" i="6" s="1"/>
  <c r="D70" i="6" s="1"/>
  <c r="D71" i="6" s="1"/>
  <c r="F13" i="3"/>
  <c r="F16" i="3"/>
  <c r="F12" i="5"/>
  <c r="F16" i="5"/>
  <c r="E12" i="5"/>
  <c r="E16" i="5"/>
  <c r="H9" i="4"/>
  <c r="H8" i="4"/>
  <c r="H11" i="5"/>
  <c r="H12" i="3"/>
  <c r="H7" i="4"/>
  <c r="H13" i="4" s="1"/>
  <c r="H21" i="4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46" i="2"/>
  <c r="G13" i="5"/>
  <c r="G14" i="5" s="1"/>
  <c r="G37" i="5"/>
  <c r="F14" i="4"/>
  <c r="F15" i="4" s="1"/>
  <c r="D23" i="5" l="1"/>
  <c r="D42" i="5"/>
  <c r="D25" i="5"/>
  <c r="D30" i="5"/>
  <c r="D73" i="6"/>
  <c r="E17" i="5"/>
  <c r="E19" i="5" s="1"/>
  <c r="E26" i="5" s="1"/>
  <c r="H16" i="5"/>
  <c r="H12" i="5"/>
  <c r="E37" i="5"/>
  <c r="E13" i="5"/>
  <c r="E14" i="5" s="1"/>
  <c r="G38" i="5"/>
  <c r="G39" i="5" s="1"/>
  <c r="G40" i="5" s="1"/>
  <c r="G41" i="5" s="1"/>
  <c r="F17" i="5"/>
  <c r="F19" i="5" s="1"/>
  <c r="F26" i="5" s="1"/>
  <c r="G23" i="5"/>
  <c r="G42" i="5"/>
  <c r="G25" i="5"/>
  <c r="G30" i="5"/>
  <c r="F37" i="5"/>
  <c r="F13" i="5"/>
  <c r="F14" i="5" s="1"/>
  <c r="D38" i="5"/>
  <c r="D39" i="5" s="1"/>
  <c r="D40" i="5" s="1"/>
  <c r="D41" i="5" s="1"/>
  <c r="H14" i="4"/>
  <c r="H15" i="4" s="1"/>
  <c r="H13" i="3"/>
  <c r="H16" i="3"/>
  <c r="E23" i="5" l="1"/>
  <c r="E42" i="5"/>
  <c r="E25" i="5"/>
  <c r="E30" i="5"/>
  <c r="F23" i="5"/>
  <c r="F42" i="5"/>
  <c r="F25" i="5"/>
  <c r="F30" i="5"/>
  <c r="H17" i="5"/>
  <c r="H19" i="5"/>
  <c r="H26" i="5" s="1"/>
  <c r="E38" i="5"/>
  <c r="E39" i="5" s="1"/>
  <c r="E40" i="5" s="1"/>
  <c r="E41" i="5" s="1"/>
  <c r="F38" i="5"/>
  <c r="F39" i="5" s="1"/>
  <c r="F40" i="5" s="1"/>
  <c r="F41" i="5" s="1"/>
  <c r="H37" i="5"/>
  <c r="H13" i="5"/>
  <c r="H14" i="5" s="1"/>
  <c r="G43" i="5"/>
  <c r="D43" i="5"/>
  <c r="H42" i="5" l="1"/>
  <c r="H25" i="5"/>
  <c r="H30" i="5"/>
  <c r="H23" i="5"/>
  <c r="H38" i="5"/>
  <c r="H39" i="5" s="1"/>
  <c r="H40" i="5" s="1"/>
  <c r="H41" i="5" s="1"/>
  <c r="F43" i="5"/>
  <c r="E43" i="5"/>
  <c r="H4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Feasibility Model</author>
  </authors>
  <commentList>
    <comment ref="D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ราคาปัจจุบันตามที่ผู้เช่าแจ้ง</t>
        </r>
      </text>
    </comment>
    <comment ref="D7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ราคาที่คาดว่าอาจต่อรองได้ในอนาคต ใช้เปรียบเทียบ sensitivity</t>
        </r>
      </text>
    </comment>
    <comment ref="D11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ปกติผู้เช่านิติบุคคลต้องหักภาษี ณ ที่จ่าย 5% จากค่าเช่าแล้วนำส่งสรรพากรแทนผู้ให้เช่า แต่ถ้าตกลงกันว่าผู้ให้เช่าต้องได้รับค่าเช่าเต็มจำนวน (ผู้เช่าออกภาษีส่วนนี้เอง) จะกลายเป็นต้นทุนเพิ่มของผู้เช่า</t>
        </r>
      </text>
    </comment>
    <comment ref="D21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ยืนยันจากผู้ใช้: ใส่ไว้ก่อนเป็น 0 บาท ยังไม่ได้กำหนดงบ ปรับได้เมื่อมีตัวเลขจริง</t>
        </r>
      </text>
    </comment>
    <comment ref="D22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ยืนยันจากผู้ใช้: ใส่ไว้ก่อนเป็น 0 บาท ยังไม่ได้กำหนดงบ ปรับได้เมื่อมีตัวเลขจริง</t>
        </r>
      </text>
    </comment>
    <comment ref="D24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ทุนตั้งต้นรวมที่ระดมมาจากหุ้นส่วนทั้งสองฝ่าย ใช้เป็นฐานคำนวณระยะเวลาคืนทุน ส่วนที่ไม่ได้ใช้ตกแต่ง/มัดจำจะเป็นเงินทุนสำรองไว้ใช้จ่ายหมุนเวียน (ค่าใช้จ่ายเดือนแรกๆ ก่อนกิจการเข้าที่ ค่าฉุกเฉิน ฯลฯ)</t>
        </r>
      </text>
    </comment>
    <comment ref="D29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ลิสติ้ง 1: ขึ้นกับ occupancy เหมือนกับลิสติ้งอื่น</t>
        </r>
      </text>
    </comment>
    <comment ref="D30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ลิสติ้ง 2: ขึ้นกับ occupancy เดียวกับลิสติ้งอื่น (ใช้ตัวเลข occupancy scenario ชุดเดียวกัน)</t>
        </r>
      </text>
    </comment>
    <comment ref="D31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ยืนยันจากผู้ใช้: ยังไม่กำหนดราคา (0 บาท) — ห้องอาจยังไม่พร้อมปล่อยเช่า ปรับได้เมื่อพร้อม</t>
        </r>
      </text>
    </comment>
    <comment ref="D32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ยืนยันจากผู้ใช้: ยังไม่กำหนดราคา (0 บาท) — ห้องอาจยังไม่พร้อมปล่อยเช่า ปรับได้เมื่อพร้อม</t>
        </r>
      </text>
    </comment>
    <comment ref="D33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ใช้ 30 วัน/เดือนโดยประมาณเพื่อความง่ายในการคำนวณ (ปีจริง 365 วัน ≈ 30.4 วัน/เดือน) — ใช้กับ Airbnb ทั้ง 4 ลิสติ้ง</t>
        </r>
      </text>
    </comment>
    <comment ref="D34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พื้นที่ส่วนที่ไม่ปล่อย Airbnb แต่ทำเป็นออฟฟิศให้เช่าระยะยาว รายได้คงที่ทุกเดือน — ยืนยันจากผู้ใช้ให้เริ่มที่ 0</t>
        </r>
      </text>
    </comment>
    <comment ref="D35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ประมาณการรายได้เฉลี่ยจากการให้เช่าห้องประชุม ไม่ขึ้นกับ occupancy ของ Airbnb — ยืนยันจากผู้ใช้ให้เริ่มที่ 0</t>
        </r>
      </text>
    </comment>
    <comment ref="D46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คิดจากรายได้ Airbnb (ลิสติ้ง 1-4) เท่านั้น — ไม่หักจากรายได้ออฟฟิศ/ห้องประชุม เพราะไม่ได้จองผ่าน Airbnb</t>
        </r>
      </text>
    </comment>
    <comment ref="D50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ยืนยันจากผู้ใช้: ค่าน้ำรวมค่าไฟ = 30,000 บาท/เดือน</t>
        </r>
      </text>
    </comment>
    <comment ref="D51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ยืนยันจากผู้ใช้: คนดูแลและคนประสานงานเป็นคนเดียวกัน รวม 20,000 บาท/เดือน</t>
        </r>
      </text>
    </comment>
    <comment ref="D54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>ค่าจ้างสำนักงานบัญชีทำบัญชีรายเดือน+ยื่นภาษี — ยืนยันจากผู้ใช้ให้เริ่มที่ 0 (ทั่วไปสำหรับนิติบุคคลขนาดเล็กประมาณ 2,500-5,000 บาท/เดือน หากต้องการใส่ภายหลัง)</t>
        </r>
      </text>
    </comment>
    <comment ref="D58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>ค่าสอบบัญชี (Audit Fee) — ยืนยันจากผู้ใช้ให้เริ่มที่ 0 (ตามกฎหมายเป็นข้อบังคับสำหรับนิติบุคคลทุกขนาด จ่ายครั้งเดียวต่อปี ประมาณ 15,000 บาท/ปี หากต้องการใส่ภายหลัง) ไม่รวมในผลรวมค่าใช้จ่ายรายเดือนด้านบน แต่จะถูกหักตอนคำนวณกำไรก่อนภาษีประจำปีในชีต P&amp;L</t>
        </r>
      </text>
    </comment>
    <comment ref="D61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>ค่าเริ่มต้น 50/50 — ปรับได้ตามข้อตกลงจริงระหว่างหุ้นส่วน</t>
        </r>
      </text>
    </comment>
    <comment ref="D63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>ถ้าหุ้นส่วนที่ลงแรงทำหน้าที่คนดูแล/ประสานงานเอง ให้ใส่ 1 — งบจะไม่หักซ้ำสองต่อ (ตัดค่าจ้างนี้ออกจากต้นทุน แล้วรวมเข้าส่วนแบ่งของหุ้นส่วน B แทน) ถ้าเป็นคนอื่นที่จ้างแยกต่างหาก ใส่ 0</t>
        </r>
      </text>
    </comment>
    <comment ref="D66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>อัตราภาษีนิติบุคคล SME: ยกเว้นภาษีสำหรับกำไรสุทธิ 300,000 บาทแรกต่อปี (เงื่อนไข: ทุนจดทะเบียนชำระแล้วไม่เกิน 5 ล้านบาท และรายได้ไม่เกิน 30 ล้านบาท/ปี)</t>
        </r>
      </text>
    </comment>
    <comment ref="D67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>กำไรสุทธิส่วนที่เกิน 300,000 แต่ไม่เกิน 3,000,000 บาท/ปี เสียภาษี 15%</t>
        </r>
      </text>
    </comment>
    <comment ref="D70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>หักจากเงินปันผลที่จ่ายให้หุ้นส่วนแต่ละคน (บุคคลธรรมดา) ตามมาตรฐานทั่วไป — ไม่หักจากค่าคนดูแล+ประสานงานซึ่งเป็นค่าตอบแทนบริการ/เงินเดือน มีภาษีหัก ณ ที่จ่ายคนละประเภทแยกต่างหาก</t>
        </r>
      </text>
    </comment>
    <comment ref="D71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>คิดค่าเสื่อมแบบเส้นตรงตามอายุสัญญาเช่า 3 ปี (leasehold improvement) เพราะเมื่อครบสัญญาหากไม่ต่อ ทรัพย์สินตกแต่งจะไม่มีมูลค่าเหลือให้ใช้ต่อที่อื่น — ค่าเสื่อมไม่ใช่เงินสดจ่ายจริง แต่ช่วยลดฐานภาษีนิติบุคคล (tax shield)</t>
        </r>
      </text>
    </comment>
    <comment ref="D73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>ถ้ารายได้ที่ต้องเสียภาษีมูลค่าเพิ่มเกิน 1.8 ล้านบาท/ปี ต้องจดทะเบียน VAT ตามกฎหมาย สมมติว่ารายได้ Airbnb + ห้องประชุม เข้าข่ายต้องเสีย VAT (ลักษณะคล้ายบริการที่พัก/ห้องประชุมระยะสั้น) ส่วนค่าเช่าออฟฟิศระยะยาวเข้าข่ายยกเว้น VAT ตามประมวลรัษฎากร (การให้เช่าอสังหาริมทรัพย์) — ควรตรวจสอบกับผู้เชี่ยวชาญภาษีเพื่อความชัดเจนตามลักษณะธุรกิจจริง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Feasibility Model</author>
  </authors>
  <commentList>
    <comment ref="B32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สิ้นปีที่ 1</t>
        </r>
      </text>
    </comment>
    <comment ref="B44" authorId="0" shapeId="0" xr:uid="{00000000-0006-0000-0300-000002000000}">
      <text>
        <r>
          <rPr>
            <sz val="11"/>
            <color theme="1"/>
            <rFont val="Calibri"/>
            <family val="2"/>
            <scheme val="minor"/>
          </rPr>
          <t>สิ้นปีที่ 2</t>
        </r>
      </text>
    </comment>
    <comment ref="B56" authorId="0" shapeId="0" xr:uid="{00000000-0006-0000-0300-000003000000}">
      <text>
        <r>
          <rPr>
            <sz val="11"/>
            <color theme="1"/>
            <rFont val="Calibri"/>
            <family val="2"/>
            <scheme val="minor"/>
          </rPr>
          <t>สิ้นปีที่ 3</t>
        </r>
      </text>
    </comment>
  </commentList>
</comments>
</file>

<file path=xl/sharedStrings.xml><?xml version="1.0" encoding="utf-8"?>
<sst xmlns="http://schemas.openxmlformats.org/spreadsheetml/2006/main" count="301" uniqueCount="242">
  <si>
    <t>Feasibility Study — Airbnb ตึกแถว 2 คูหา ใกล้ ICONSIAM (โมเดลเช่าช่วง / Rental Arbitrage)</t>
  </si>
  <si>
    <t>จัดทำโดยโมเดลนี้: สมมติฐานทุกช่องสีเหลือง/ตัวอักษรสีน้ำเงิน = แก้ไขได้ ตัวเลขสีดำ = คำนวณอัตโนมัติ</t>
  </si>
  <si>
    <t>1) ข้อมูลทรัพย์และสัญญาเช่า</t>
  </si>
  <si>
    <t>ทำเล / ประเภททรัพย์</t>
  </si>
  <si>
    <t>กทม. ตึกแถว 2 คูหา ใกล้ ICONSIAM</t>
  </si>
  <si>
    <t>ค่าเช่าต่อเดือน (บาท)</t>
  </si>
  <si>
    <t>ค่าเช่าต่อรองในอนาคต (บาท)</t>
  </si>
  <si>
    <t>ระยะเวลาสัญญาเช่า (ปี)</t>
  </si>
  <si>
    <t>เงินมัดจำ (จำนวนเดือนค่าเช่า)</t>
  </si>
  <si>
    <t>เงินมัดจำ (บาท)</t>
  </si>
  <si>
    <t>คือ ค่าเช่า x จำนวนเดือนมัดจำ</t>
  </si>
  <si>
    <t>อัตราภาษีหัก ณ ที่จ่ายค่าเช่า จ่ายแทนผู้ให้เช่า (%)</t>
  </si>
  <si>
    <t>2) เงินลงทุนเริ่มต้น (CapEx + ทุนสำรอง)</t>
  </si>
  <si>
    <t>Breakdown ค่าตกแต่ง + เฟอร์นิเจอร์:</t>
  </si>
  <si>
    <t>ค่าปรับโครงสร้าง + อุปกรณ์</t>
  </si>
  <si>
    <t>ค่าเดินไฟฟ้า</t>
  </si>
  <si>
    <t>ค่าแอร์</t>
  </si>
  <si>
    <t>ค่าเฟอร์นิเจอร์</t>
  </si>
  <si>
    <t>อุปกรณ์ไฟฟ้า</t>
  </si>
  <si>
    <t>ค่าจานชาม / ผ้าปูที่นอน</t>
  </si>
  <si>
    <t>สระว่ายน้ำ</t>
  </si>
  <si>
    <t>ลิฟท์</t>
  </si>
  <si>
    <t>งบตกแต่ง + เฟอร์นิเจอร์ทั้งหมด (บาท)</t>
  </si>
  <si>
    <t>เงินทุนเริ่มต้นทั้งหมดที่หุ้นส่วนลงขัน (บาท)</t>
  </si>
  <si>
    <t>เงินทุนสำรองคงเหลือ (Working Capital Buffer)</t>
  </si>
  <si>
    <t>คือ เงินทุนทั้งหมด หัก งบตกแต่ง หัก เงินมัดจำ (เงินสำรองไว้ใช้หมุนเวียน ไม่ใช่ค่าใช้จ่ายที่ทราบแน่นอน)</t>
  </si>
  <si>
    <t>เงินลงทุนเริ่มต้นรวม (ใช้คำนวณคืนทุน)</t>
  </si>
  <si>
    <t>คือ เงินทุนเริ่มต้นทั้งหมดที่หุ้นส่วนลงขัน (จ่ายด้วยเงินสด ไม่มีการกู้) — ใช้เป็นฐานคำนวณระยะเวลาคืนทุนทุกจุดในไฟล์นี้</t>
  </si>
  <si>
    <t>3) สมมติฐานรายได้ — 6 สายรายได้ (Airbnb 4 ลิสติ้ง + ออฟฟิศ + ห้องประชุม)</t>
  </si>
  <si>
    <t>Airbnb ลิสติ้ง 1 — ราคาต่อคืน (บาท)</t>
  </si>
  <si>
    <t>Airbnb ลิสติ้ง 2 — ราคาต่อคืน (บาท)</t>
  </si>
  <si>
    <t>Airbnb ลิสติ้ง 3 — ราคาต่อคืน (บาท)</t>
  </si>
  <si>
    <t>Airbnb ลิสติ้ง 4 — ราคาต่อคืน (บาท)</t>
  </si>
  <si>
    <t>จำนวนวันต่อเดือน (สมมติ)</t>
  </si>
  <si>
    <t>ค่าเช่าออฟฟิศ (บาท/เดือน — คงที่ ไม่ขึ้นกับ occupancy)</t>
  </si>
  <si>
    <t>รายได้ห้องประชุม (บาท/เดือน — ประมาณการคงที่)</t>
  </si>
  <si>
    <t>3ข) Occupancy รายลิสติ้ง (สถานการณ์ปัจจุบัน — ใช้ในชีต "P&amp;L ปัจจุบัน")</t>
  </si>
  <si>
    <t>ตั้งค่า occupancy แยกแต่ละลิสติ้งได้ — ต่างจากตาราง 5 สถานการณ์เปรียบเทียบ (50-90%) ในชีต P&amp;L รายเดือน ซึ่งยังคงสมมติ occupancy เท่ากันทุกลิสติ้งไว้สำหรับดูความไว</t>
  </si>
  <si>
    <t>Occupancy ลิสติ้ง 1</t>
  </si>
  <si>
    <t>Occupancy ลิสติ้ง 2</t>
  </si>
  <si>
    <t>Occupancy ลิสติ้ง 3</t>
  </si>
  <si>
    <t>Occupancy ลิสติ้ง 4</t>
  </si>
  <si>
    <t>Occupancy เฉลี่ยรวม 4 ลิสติ้ง</t>
  </si>
  <si>
    <t>คำนวณอัตโนมัติ = ค่าเฉลี่ยของ occupancy ทั้ง 4 ลิสติ้ง</t>
  </si>
  <si>
    <t>4) ค่าใช้จ่ายผันแปร (% ของรายได้ Airbnb เท่านั้น)</t>
  </si>
  <si>
    <t>ค่าธรรมเนียม Airbnb Host Fee</t>
  </si>
  <si>
    <t>5) ค่าใช้จ่ายคงที่รายเดือน (ไม่รวมค่าเช่า)</t>
  </si>
  <si>
    <t>ค่าแม่บ้าน / ทำความสะอาด</t>
  </si>
  <si>
    <t>ค่าน้ำ-ค่าไฟ (รวม)</t>
  </si>
  <si>
    <t>ค่าคนดูแล + ประสานงาน (คนเดียวกัน)</t>
  </si>
  <si>
    <t>ของใช้สิ้นเปลืองในห้อง (ทิชชู่/น้ำดื่ม/สบู่/แชมพู)</t>
  </si>
  <si>
    <t>Internet / Streaming / Smart Lock รายเดือน</t>
  </si>
  <si>
    <t>ค่าทำบัญชีรายเดือน</t>
  </si>
  <si>
    <t>สำรอง/ซ่อมบำรุง/เบ็ดเตล็ด/เดินทาง/การตลาด</t>
  </si>
  <si>
    <t>ภาษีหัก ณ ที่จ่ายค่าเช่า (จ่ายแทนผู้ให้เช่า)</t>
  </si>
  <si>
    <t>คือ ค่าเช่า x อัตราภาษีหัก ณ ที่จ่าย — ต้นทุนเพิ่มเมื่อผู้เช่าต้องออกภาษีแทนผู้ให้เช่า</t>
  </si>
  <si>
    <t>รวมค่าใช้จ่ายคงที่ต่อเดือน (ไม่รวมค่าเช่า)</t>
  </si>
  <si>
    <t>ค่าตรวจสอบบัญชีประจำปี (บาท/ปี — ไม่ใช่ต่อเดือน)</t>
  </si>
  <si>
    <t>6) หุ้นส่วนและการแบ่งกำไรรายเดือน</t>
  </si>
  <si>
    <t>สัดส่วนหุ้นส่วน A (ผู้ลงทุน) %</t>
  </si>
  <si>
    <t>สัดส่วนหุ้นส่วน B (ผู้ลงแรง) %</t>
  </si>
  <si>
    <t>คำนวณอัตโนมัติ = 100% - สัดส่วน A</t>
  </si>
  <si>
    <t>ค่าคนดูแล+ประสานงาน (20,000) เป็นค่าตอบแทนหุ้นส่วน B เอง? (1=ใช่, 0=ไม่ใช่ จ้างคนนอก)</t>
  </si>
  <si>
    <t>7) ภาษี (นิติบุคคล + เงินปันผล)</t>
  </si>
  <si>
    <t>ขั้นที่ 1: กำไรสุทธิไม่เกิน (บาท/ปี) — อัตรา 0%</t>
  </si>
  <si>
    <t>ขั้นที่ 2: กำไรสุทธิไม่เกิน (บาท/ปี) — อัตรา 15%</t>
  </si>
  <si>
    <t>อัตราภาษีขั้นที่ 2 (300,001 - 3,000,000)</t>
  </si>
  <si>
    <t>อัตราภาษีขั้นที่ 3 (เกิน 3,000,000)</t>
  </si>
  <si>
    <t>อัตราภาษีหัก ณ ที่จ่าย เงินปันผล</t>
  </si>
  <si>
    <t>ระยะเวลาคิดค่าเสื่อมราคาตกแต่ง+เฟอร์นิเจอร์ (ปี)</t>
  </si>
  <si>
    <t>อัตราภาษีมูลค่าเพิ่ม (VAT)</t>
  </si>
  <si>
    <t>เกณฑ์รายได้ต้องจดทะเบียน VAT (บาท/ปี)</t>
  </si>
  <si>
    <t>8) ภาษีเงินได้บุคคลธรรมดา (สำหรับกรณีถอนเงินก่อนมีกำไรรับรอง)</t>
  </si>
  <si>
    <t>ใช้เปรียบเทียบ: ถ้าหุ้นส่วนถอนเงินรายเดือนเป็นเงินเดือน/ค่าตอบแทน (ก่อนรู้ผลกำไรทั้งปี) จะเสียภาษีตามอัตราก้าวหน้านี้แทนภาษีเงินปันผล 10%</t>
  </si>
  <si>
    <t>ค่าใช้จ่ายหักได้ (% ของเงินได้ ม.40(1))</t>
  </si>
  <si>
    <t>เพดานค่าใช้จ่ายหักได้ (บาท/ปี)</t>
  </si>
  <si>
    <t>ค่าลดหย่อนส่วนตัว (บาท/ปี)</t>
  </si>
  <si>
    <t>ขั้น 1: 0 - 150,000 (ยกเว้น) — เพดานสะสม (บาท)</t>
  </si>
  <si>
    <t>ขั้น 1: 0 - 150,000 (ยกเว้น) — อัตรา</t>
  </si>
  <si>
    <t>ขั้น 2: 150,001 - 300,000 — เพดานสะสม (บาท)</t>
  </si>
  <si>
    <t>ขั้น 2: 150,001 - 300,000 — อัตรา</t>
  </si>
  <si>
    <t>ขั้น 3: 300,001 - 500,000 — เพดานสะสม (บาท)</t>
  </si>
  <si>
    <t>ขั้น 3: 300,001 - 500,000 — อัตรา</t>
  </si>
  <si>
    <t>ขั้น 4: 500,001 - 750,000 — เพดานสะสม (บาท)</t>
  </si>
  <si>
    <t>ขั้น 4: 500,001 - 750,000 — อัตรา</t>
  </si>
  <si>
    <t>ขั้น 5: 750,001 - 1,000,000 — เพดานสะสม (บาท)</t>
  </si>
  <si>
    <t>ขั้น 5: 750,001 - 1,000,000 — อัตรา</t>
  </si>
  <si>
    <t>ขั้น 6: 1,000,001 - 2,000,000 — เพดานสะสม (บาท)</t>
  </si>
  <si>
    <t>ขั้น 6: 1,000,001 - 2,000,000 — อัตรา</t>
  </si>
  <si>
    <t>ขั้น 7: 2,000,001 - 5,000,000 — เพดานสะสม (บาท)</t>
  </si>
  <si>
    <t>ขั้น 7: 2,000,001 - 5,000,000 — อัตรา</t>
  </si>
  <si>
    <t>ขั้น 8: เกิน 5,000,000 — อัตรา</t>
  </si>
  <si>
    <t>9) Occupancy Scenario ที่ใช้เปรียบเทียบ</t>
  </si>
  <si>
    <t>ใช้ 5 ระดับ: 50% / 60% / 70% / 80% / 90% ต่อเดือน</t>
  </si>
  <si>
    <t>→ ดูรายละเอียดในชีต 'P&amp;L รายเดือน', 'จุดคุ้มทุน-คืนทุน' และ 'ส่วนแบ่งหุ้นส่วน'</t>
  </si>
  <si>
    <t>งบกำไรขาดทุนรายเดือน — เปรียบเทียบ Occupancy 5 ระดับ (ค่าเช่าฐานตามชีตสมมติฐาน)</t>
  </si>
  <si>
    <t>Occupancy Rate ต่อเดือน</t>
  </si>
  <si>
    <t>จำนวนคืนที่ขายได้ต่อลิสติ้ง (คืน/เดือน)</t>
  </si>
  <si>
    <t>รายได้ Airbnb ลิสติ้ง 1</t>
  </si>
  <si>
    <t>รายได้ Airbnb ลิสติ้ง 2</t>
  </si>
  <si>
    <t>รายได้ Airbnb ลิสติ้ง 3</t>
  </si>
  <si>
    <t>รายได้ Airbnb ลิสติ้ง 4</t>
  </si>
  <si>
    <t>รวมรายได้ Airbnb (ก่อนหักค่าธรรมเนียม)</t>
  </si>
  <si>
    <t>หัก ค่าธรรมเนียม Airbnb Host Fee (เฉพาะรายได้ Airbnb)</t>
  </si>
  <si>
    <t>รายได้ Airbnb สุทธิหลังค่าธรรมเนียม</t>
  </si>
  <si>
    <t>รายได้ออฟฟิศให้เช่า (คงที่ ไม่ขึ้นกับ occupancy)</t>
  </si>
  <si>
    <t>รายได้ห้องประชุม (คงที่ ไม่ขึ้นกับ occupancy)</t>
  </si>
  <si>
    <t>รวมรายได้ทั้งหมด (ก่อนหักค่าธรรมเนียม Airbnb)</t>
  </si>
  <si>
    <t>รวมรายได้สุทธิทั้งหมด</t>
  </si>
  <si>
    <t>ค่าใช้จ่ายดำเนินงาน</t>
  </si>
  <si>
    <t>ค่าเช่าสถานที่</t>
  </si>
  <si>
    <t>ค่าน้ำ-ค่าไฟ</t>
  </si>
  <si>
    <t>ค่าคนดูแล + ประสานงาน</t>
  </si>
  <si>
    <t>ของใช้สิ้นเปลืองในห้อง</t>
  </si>
  <si>
    <t>Internet / Streaming / Smart Lock</t>
  </si>
  <si>
    <t>สำรอง / ซ่อมบำรุง / เบ็ดเตล็ด</t>
  </si>
  <si>
    <t>รวมค่าใช้จ่ายดำเนินงานทั้งหมด</t>
  </si>
  <si>
    <t>กำไร (ขาดทุน) สุทธิ ต่อเดือน</t>
  </si>
  <si>
    <t>Net Margin (% ของรายได้)</t>
  </si>
  <si>
    <t>กำไร (ขาดทุน) สุทธิ ต่อปี (x12) — ก่อนภาษี</t>
  </si>
  <si>
    <t>ภาษีมูลค่าเพิ่ม (VAT) และภาษีเงินได้นิติบุคคล (CIT)</t>
  </si>
  <si>
    <t>รายได้ที่เข้าเกณฑ์ VAT ต่อปี (Airbnb + ห้องประชุม)</t>
  </si>
  <si>
    <t>สถานะ VAT (เกณฑ์ 1,800,000 บาท/ปี)</t>
  </si>
  <si>
    <t>VAT ขาออก ต่อปี (ก่อนหักภาษีซื้อ — เฉพาะถ้าเข้าเกณฑ์)</t>
  </si>
  <si>
    <t>หัก ภาษีซื้อจากค่าคอมมิชชั่น Airbnb (นำมาเครดิตได้ — เฉพาะถ้าจด VAT)</t>
  </si>
  <si>
    <t>หัก VAT สุทธิที่ต้องนำส่งจริง ต่อปี</t>
  </si>
  <si>
    <t>หัก ค่าตรวจสอบบัญชีประจำปี</t>
  </si>
  <si>
    <t>กำไรก่อนภาษีจริง ต่อปี (เงินสด — หลังหัก VAT + ค่าสอบบัญชี)</t>
  </si>
  <si>
    <t>หัก ค่าเสื่อมราคาตกแต่ง+เฟอร์นิเจอร์ (เฉพาะคำนวณภาษี ไม่ใช่เงินสด)</t>
  </si>
  <si>
    <t>กำไรทางภาษี ต่อปี (ฐานคำนวณ CIT — หลังหักค่าเสื่อม)</t>
  </si>
  <si>
    <t>ภาษีเงินได้นิติบุคคลต่อปี</t>
  </si>
  <si>
    <t>กำไรสุทธิหลังภาษี ต่อปี (เงินสดจริง)</t>
  </si>
  <si>
    <t>กำไรสุทธิหลังภาษี ต่อเดือน (เฉลี่ย)</t>
  </si>
  <si>
    <t>รวมค่าใช้จ่ายทั้งหมดต่อเดือน (ดำเนินงาน + VAT + ค่าสอบบัญชี + CIT เฉลี่ย)</t>
  </si>
  <si>
    <t>หมายเหตุ: ค่าเช่าใช้ราคาปัจจุบันตามชีตสมมติฐาน — ดูกรณีต่อรองค่าเช่าในชีต 'จุดคุ้มทุน-คืนทุน'</t>
  </si>
  <si>
    <t>หมายเหตุภาษี: คำนวณ CIT/VAT แบบรายปีตามกำไรจริง เพื่อความง่าย (ในทางปฏิบัติ VAT ยื่นรายเดือน ภ.พ.30 และ CIT ยื่นประมาณการกลางปี ภ.ง.ด.51 + ชำระจริงตอนสิ้นปี ภ.ง.ด.50) รวมเครดิตภาษีซื้อจาก VAT 7% ที่ Airbnb เรียกเก็บบนค่าคอมมิชชั่นแล้ว (นำมาหักลด VAT ขาออกได้ เฉพาะกรณีจด VAT) แต่ยังไม่ได้รวมผลขาดทุนสะสมยกไปหักปีถัดไป (tax loss carryforward) ซึ่งจะช่วยลดภาระภาษีจริงได้มากกว่านี้อีก — ควรตรวจสอบกับนักบัญชี/ผู้เชี่ยวชาญภาษีเพื่อความแม่นยำ</t>
  </si>
  <si>
    <t>จุดคุ้มทุน (Breakeven Occupancy) และระยะเวลาคืนทุน</t>
  </si>
  <si>
    <t>จุดคุ้มทุน Occupancy ที่ต้องทำได้ต่อเดือน</t>
  </si>
  <si>
    <t>Breakeven Occupancy % (รายเดือน)</t>
  </si>
  <si>
    <t>เงินลงทุนเริ่มต้น</t>
  </si>
  <si>
    <t>เงินลงทุนเริ่มต้นรวม (ตกแต่ง + มัดจำ)</t>
  </si>
  <si>
    <t>ระยะเวลาคืนทุน (เดือน) แยกตาม Occupancy — กรณีค่าเช่าปัจจุบัน (ดูชีตสมมติฐาน)</t>
  </si>
  <si>
    <t>Occupancy</t>
  </si>
  <si>
    <t>50%</t>
  </si>
  <si>
    <t>60%</t>
  </si>
  <si>
    <t>70%</t>
  </si>
  <si>
    <t>80%</t>
  </si>
  <si>
    <t>90%</t>
  </si>
  <si>
    <t>กำไรสุทธิหลังภาษี ต่อเดือน (อ้างอิงจาก P&amp;L — ใช้คำนวณคืนทุน)</t>
  </si>
  <si>
    <t>ระยะเวลาคืนทุน (เดือน)</t>
  </si>
  <si>
    <t>กระแสเงินสดสะสม 3 ปี (36 เดือน) เทียบเงินลงทุนเริ่มต้น</t>
  </si>
  <si>
    <t>กำไร/ขาดทุนสะสม 36 เดือน หักเงินลงทุนเริ่มต้น</t>
  </si>
  <si>
    <t>หมายเหตุ: ตัวเลขบวก = คืนทุนได้ภายในอายุสัญญาเช่า 3 ปี และมีกำไรสะสมเหลือ / ตัวเลขติดลบ = ยังไม่คืนทุนภายในสัญญา 3 ปี</t>
  </si>
  <si>
    <t>คำเตือน: โมเดลนี้เป็นสัญญาเช่าช่วง (ไม่ได้ซื้อทรัพย์) เงินตกแต่ง (ส่วนหนึ่งของเงินทุนเริ่มต้นรวม — ดูชีตสมมติฐาน) เป็นความเสี่ยงหากไม่ได้ต่อสัญญาเช่าหลัง 3 ปี</t>
  </si>
  <si>
    <t>กระแสเงินสด (Net Cash Flow) และกระแสเงินสดสะสม (Cumulative Cash Flow)</t>
  </si>
  <si>
    <t>หมายเหตุ: โมเดลนี้เป็นเงินสดล้วน (ไม่มีเงินกู้/ดอกเบี้ย/ค่าเสื่อม) Net Cash Flow ต่อเดือน = กำไรสุทธิต่อเดือนจากชีต P&amp;L</t>
  </si>
  <si>
    <t>สรุปรายปี (Year 0 = ลงทุนเริ่มต้น, Year 1-3 = ระยะสัญญาเช่า)</t>
  </si>
  <si>
    <t>รายการ</t>
  </si>
  <si>
    <t>Net Cash Flow — Year 0 (ลงทุนเริ่มต้น)</t>
  </si>
  <si>
    <t>Net Cash Flow — Year 1</t>
  </si>
  <si>
    <t>Net Cash Flow — Year 2</t>
  </si>
  <si>
    <t>Net Cash Flow — Year 3</t>
  </si>
  <si>
    <t>Cumulative Cash Flow</t>
  </si>
  <si>
    <t>สิ้น Year 0</t>
  </si>
  <si>
    <t>สิ้น Year 1</t>
  </si>
  <si>
    <t>สิ้น Year 2</t>
  </si>
  <si>
    <t>สิ้น Year 3</t>
  </si>
  <si>
    <t>รายละเอียดรายเดือน (เดือน 0-36) — Net Cash Flow และ Cumulative Cash Flow</t>
  </si>
  <si>
    <t>เดือนที่</t>
  </si>
  <si>
    <t>Cumulative CF — 50%</t>
  </si>
  <si>
    <t>Cumulative CF — 60%</t>
  </si>
  <si>
    <t>Cumulative CF — 70%</t>
  </si>
  <si>
    <t>Cumulative CF — 80%</t>
  </si>
  <si>
    <t>Cumulative CF — 90%</t>
  </si>
  <si>
    <t>หมายเหตุ: กราฟด้านล่างแสดงกระแสเงินสดสะสมของทั้ง 5 สถานการณ์ occupancy ตลอดอายุสัญญาเช่า 3 ปี (เส้นตัดแกน 0 = จุดคืนทุน)</t>
  </si>
  <si>
    <t>การแบ่งเงินปันผลระหว่างหุ้นส่วน A (ผู้ลงทุน) และหุ้นส่วน B (ผู้ลงแรง) — หลังภาษีนิติบุคคล</t>
  </si>
  <si>
    <t>สูตร: เงินปันผลรวม = กำไรสุทธิหลังภาษีนิติบุคคล / หุ้นส่วน A = เงินปันผล x สัดส่วน A / หุ้นส่วน B = (เงินปันผล x สัดส่วน B) + ค่าคนดูแล+ประสานงาน (เฉพาะกรณีตั้งค่าว่าเป็นหุ้นส่วน B เอง — ค่าตอบแทนนี้ไม่ใช่เงินปันผล ไม่หัก WHT 10%)</t>
  </si>
  <si>
    <t>คำเตือนสำคัญด้านกฎหมาย: เงินปันผลจ่ายได้ก็ต่อเมื่อบริษัทมีกำไรสะสม/กำไรที่รับรองแล้วเท่านั้น (ปกติคือหลังปิดงบและที่ประชุมผู้ถือหุ้นอนุมัติจ่ายปันผลประจำปี) หากยังไม่มีกำไรที่แน่นอน จะยังไม่สามารถจ่ายปันผลได้ตามกฎหมาย ตัวเลข "ต่อเดือน" ในชีตนี้เป็นการประมาณการเฉลี่ยเพื่อวางแผนเท่านั้น หากหุ้นส่วนต้องการถอนเงินออกมาใช้จริงเป็นรายเดือนก่อนรู้ผลกำไรทั้งปี เงินส่วนนั้นจะไม่นับเป็นเงินปันผล (ไม่ใช้อัตราหัก ณ ที่จ่าย 10%) แต่จะถือเป็นเงินได้ประเภทอื่น เช่น เงินเดือน/ค่าตอบแทนกรรมการ หรือเงินให้กู้ยืมจากผู้ถือหุ้น ซึ่งต้องเสียภาษีเงินได้บุคคลธรรมดาตามอัตราก้าวหน้าแทน ควรปรึกษานักบัญชี/ผู้สอบบัญชีก่อนกำหนดวิธีนำเงินออกจากบริษัทจริง</t>
  </si>
  <si>
    <t>สมมติฐานสัดส่วน (อ้างอิงจากชีตสมมติฐาน — แก้ที่นั่นได้)</t>
  </si>
  <si>
    <t>สัดส่วนหุ้นส่วน A (ผู้ลงทุน)</t>
  </si>
  <si>
    <t>สัดส่วนหุ้นส่วน B (ผู้ลงแรง)</t>
  </si>
  <si>
    <t>ค่าคนดูแล+ประสานงาน นับเป็นค่าตอบแทนหุ้นส่วน B เอง?</t>
  </si>
  <si>
    <t>ส่วนแบ่งกำไรรายเดือน แยกตาม Occupancy (ค่าเช่าปัจจุบัน — ดูชีตสมมติฐาน)</t>
  </si>
  <si>
    <t>กำไรสุทธิหลังภาษีนิติบุคคล ต่อเดือน (เฉลี่ย) — เงินปันผลที่แบ่งได้</t>
  </si>
  <si>
    <t>เงินปันผลหุ้นส่วน A (ผู้ลงทุน) — ก่อนหัก WHT</t>
  </si>
  <si>
    <t>หัก ภาษีเงินปันผล WHT 10% ของ A</t>
  </si>
  <si>
    <t>หุ้นส่วน A ได้รับสุทธิ ต่อเดือน</t>
  </si>
  <si>
    <t>เงินปันผลหุ้นส่วน B (ผู้ลงแรง) — ก่อนหัก WHT</t>
  </si>
  <si>
    <t>หัก ภาษีเงินปันผล WHT 10% ของ B</t>
  </si>
  <si>
    <t>+ ค่าคนดูแล+ประสานงาน (ถ้าตั้งค่าว่าเป็น B เอง — ไม่ใช่เงินปันผล ไม่หัก WHT นี้)</t>
  </si>
  <si>
    <t>หุ้นส่วน B ได้รับสุทธิ ต่อเดือน (เงินปันผลสุทธิ + ค่าคนดูแล)</t>
  </si>
  <si>
    <t>หมายเหตุ: เมื่อกิจการขาดทุน หุ้นส่วน B ยังคงได้รับค่าคนดูแลเต็มจำนวน แต่เพราะ B ก็เป็นผู้ถือหุ้นด้วย (ไม่ใช่แค่ลูกจ้าง) จึงต้องร่วมรับผลขาดทุนตามสัดส่วนหุ้นเช่นกัน ทำให้ยอดสุทธิที่ได้รับต่ำกว่าค่าคนดูแลเพียงอย่างเดียวได้ — ไม่ใช่ข้อผิดพลาดในการคำนวณ</t>
  </si>
  <si>
    <t>รวมที่จ่ายออกจริงต่อเดือน / ต่อปี (เช็คยอด)</t>
  </si>
  <si>
    <t>รวม A + B ที่ได้รับสุทธิ ต่อเดือน</t>
  </si>
  <si>
    <t>หุ้นส่วน A ต่อปี (สุทธิ)</t>
  </si>
  <si>
    <t>หุ้นส่วน B ต่อปี (สุทธิ)</t>
  </si>
  <si>
    <t>ระยะเวลาคืนทุนของหุ้นส่วน A จากส่วนแบ่งสุทธิเท่านั้น</t>
  </si>
  <si>
    <t>เงินลงทุนเริ่มต้นของหุ้นส่วน A (สมมติออกเงินทั้งหมด)</t>
  </si>
  <si>
    <t>ระยะเวลาคืนทุนของหุ้นส่วน A (เดือน)</t>
  </si>
  <si>
    <t>คำเตือน: การแบ่งกำไรทุกเดือนไม่ใช่การคืนเงินลงทุน — หุ้นส่วน A ยังคงต้องรอให้ส่วนแบ่งสะสมครบเท่ากับเงินลงทุนเริ่มต้นทั้งหมด (ดูตัวเลขที่แถว 29 ด้านบน อ้างอิงจากชีตสมมติฐาน) จึงจะถือว่าได้เงินลงทุนคืนครบ ตัวเลขด้านบนคือระยะเวลาที่ใช้ในการนั้น หากแบ่งกำไรออกไปทุกเดือนโดยไม่กันเงินสำรอง หุ้นส่วน A จะยิ่งคืนทุนช้าลงเมื่อเทียบกับการไม่แบ่งกำไร</t>
  </si>
  <si>
    <t>เปรียบเทียบ: ถอนเป็นเงินปันผล (WHT 10%) VS ถอนเป็นเงินเดือน/ค่าตอบแทนรายเดือนก่อนรู้ผลกำไร (PIT ก้าวหน้า)</t>
  </si>
  <si>
    <t>สมมติหุ้นส่วน A ถอนเงินรายเดือนล่วงหน้าเป็น "เงินเดือน/ค่าตอบแทนกรรมการ" (ไม่ใช่เงินปันผล) และนำยอดรวมทั้งปีมาคำนวณภาษีเงินได้บุคคลธรรมดาราวกับเป็นรายได้ทางเดียวของปีนั้น (ไม่รวมรายได้อื่น ไม่ได้ใช้ลดหย่อนอื่นเพิ่มเติม)</t>
  </si>
  <si>
    <t>ยอดถอนรวมทั้งปีของหุ้นส่วน A (ก่อนหักภาษีใดๆ)</t>
  </si>
  <si>
    <t>หัก ค่าใช้จ่าย + ค่าลดหย่อนส่วนตัว</t>
  </si>
  <si>
    <t>เงินได้สุทธิที่ต้องเสียภาษี</t>
  </si>
  <si>
    <t>ภาษีเงินได้บุคคลธรรมดา (อัตราก้าวหน้า)</t>
  </si>
  <si>
    <t>เงินที่ได้รับสุทธิ — ถ้าถอนเป็นเงินเดือน/ค่าตอบแทน (PIT)</t>
  </si>
  <si>
    <t>เงินที่ได้รับสุทธิ — ถ้าถอนเป็นเงินปันผลประจำปี (WHT 10%)</t>
  </si>
  <si>
    <t>ผลต่าง (เงินปันผล ลบ เงินเดือน/ค่าตอบแทน)</t>
  </si>
  <si>
    <t>สรุป: ตัวเลขบวก = รอจ่ายเป็นเงินปันผลประจำปีคุ้มกว่าถอนเป็นเงินเดือนรายเดือน (เพราะภาษีก้าวหน้าของบุคคลธรรมดาที่รายได้สูงอาจแพงกว่า WHT คงที่ 10%) ตัวเลขติดลบ = ถอนเป็นเงินเดือนรายเดือนได้สุทธิมากกว่า (เพราะรายได้ยังอยู่ในขั้นภาษีต่ำ/ยกเว้น) — ทั้งนี้การถอนเป็นเงินเดือนยังมีข้อดีคือได้เงินก่อน ไม่ต้องรอปิดงบประจำปี แต่ต้องมีมติ/สัญญาจ้างรองรับให้ถูกต้องตามกฎหมาย</t>
  </si>
  <si>
    <t>P&amp;L สถานการณ์ปัจจุบัน — Occupancy ตั้งแยกรายลิสติ้ง (ไม่ใช่ตาราง 5 สถานการณ์เปรียบเทียบ)</t>
  </si>
  <si>
    <t>อ้างอิง occupancy รายลิสติ้งจากชีตสมมติฐาน หัวข้อ 3ข) — แก้ไขที่นั่นเพื่อเปลี่ยนสถานการณ์นี้</t>
  </si>
  <si>
    <t>Occupancy รายลิสติ้ง</t>
  </si>
  <si>
    <t>รายได้</t>
  </si>
  <si>
    <t>คืนที่ขายได้ ลิสติ้ง 1</t>
  </si>
  <si>
    <t>คืนที่ขายได้ ลิสติ้ง 2</t>
  </si>
  <si>
    <t>คืนที่ขายได้ ลิสติ้ง 3</t>
  </si>
  <si>
    <t>คืนที่ขายได้ ลิสติ้ง 4</t>
  </si>
  <si>
    <t>หัก ค่าธรรมเนียม Airbnb Host Fee</t>
  </si>
  <si>
    <t>รายได้ Airbnb สุทธิ</t>
  </si>
  <si>
    <t>รายได้ออฟฟิศให้เช่า (คงที่)</t>
  </si>
  <si>
    <t>รายได้ห้องประชุม (คงที่)</t>
  </si>
  <si>
    <t>กำไร (ขาดทุน) สุทธิ ต่อเดือน (ก่อนภาษี)</t>
  </si>
  <si>
    <t>กำไรก่อนภาษี ต่อปี (x12)</t>
  </si>
  <si>
    <t>รายได้ที่เข้าเกณฑ์ VAT ต่อปี</t>
  </si>
  <si>
    <t>กำไรก่อนภาษีจริง ต่อปี (เงินสด)</t>
  </si>
  <si>
    <t>หัก ค่าเสื่อมราคา (ใช้คำนวณภาษีเท่านั้น)</t>
  </si>
  <si>
    <t>กำไรทางภาษี ต่อปี (ฐานคำนวณ CIT)</t>
  </si>
  <si>
    <t>ระยะเวลาคืนทุนของกิจการ</t>
  </si>
  <si>
    <t>เงินลงทุนเริ่มต้นรวม</t>
  </si>
  <si>
    <t>ส่วนแบ่งหุ้นส่วน (อ้างอิงสัดส่วนจากชีตสมมติฐาน)</t>
  </si>
  <si>
    <t>เงินปันผลหุ้นส่วน A ก่อนหัก WHT</t>
  </si>
  <si>
    <t>หุ้นส่วน A ได้รับสุทธิ ต่อเดือน (หลัง WHT 10%)</t>
  </si>
  <si>
    <t>เงินปันผลหุ้นส่วน B ก่อนหัก WHT</t>
  </si>
  <si>
    <t>หุ้นส่วน B ได้รับสุทธิ ต่อเดือน (หลัง WHT + ค่าคนดูแลถ้ามี)</t>
  </si>
  <si>
    <t>ระยะเวลาคืนทุนของหุ้นส่วน A จากส่วนแบ่งเท่านั้น (เดือน)</t>
  </si>
  <si>
    <t>เปรียบเทียบ: เงินปันผล (WHT 10%) VS เงินเดือน/ค่าตอบแทนก่อนรู้ผลกำไร (PIT ก้าวหน้า) — หุ้นส่วน A</t>
  </si>
  <si>
    <t>ยอดถอนรวมทั้งปีของหุ้นส่วน A (ก่อนหักภาษี)</t>
  </si>
  <si>
    <t>สุทธิ — ถ้าถอนเป็นเงินเดือน/ค่าตอบแทน (PIT)</t>
  </si>
  <si>
    <t>สุทธิ — ถ้าถอนเป็นเงินปันผลประจำปี (WHT 10%)</t>
  </si>
  <si>
    <t>ผลต่าง (ปันผล ลบ เงินเดือน)</t>
  </si>
  <si>
    <t>หมายเหตุ: ชีตนี้คือมุมมอง "สถานการณ์ปัจจุบัน" ที่ใช้ occupancy จริงแยกรายลิสติ้ง (ต่างจากชีต P&amp;L รายเดือน ที่เปรียบเทียบ 5 สถานการณ์ occupancy เท่ากันทุกลิสติ้งเพื่อดูความไว) ปรับ occupancy รายลิสติ้งได้ในชีตสมมติฐาน หัวข้อ 3ข)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</si>
</sst>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;&quot;-&quot;"/>
    <numFmt numFmtId="165" formatCode="0.0%"/>
    <numFmt numFmtId="166" formatCode="#,##0.0"/>
    <numFmt numFmtId="167" formatCode="0.0"/>
  </numFmts>
  <fonts count="12" x14ac:knownFonts="1">
    <font>
      <sz val="11"/>
      <color theme="1"/>
      <name val="Calibri"/>
      <family val="2"/>
      <scheme val="minor"/>
    </font>
    <font>
      <b/>
      <sz val="14"/>
      <color rgb="FF000000"/>
      <name val="Arial"/>
    </font>
    <font>
      <i/>
      <sz val="9"/>
      <color rgb="FF808080"/>
      <name val="Arial"/>
    </font>
    <font>
      <b/>
      <sz val="11"/>
      <color rgb="FFFFFFFF"/>
      <name val="Arial"/>
    </font>
    <font>
      <sz val="11"/>
      <color rgb="FF000000"/>
      <name val="Arial"/>
    </font>
    <font>
      <sz val="11"/>
      <color rgb="FF0000FF"/>
      <name val="Arial"/>
    </font>
    <font>
      <i/>
      <sz val="10"/>
      <color rgb="FF808080"/>
      <name val="Arial"/>
    </font>
    <font>
      <b/>
      <sz val="11"/>
      <color rgb="FF000000"/>
      <name val="Arial"/>
    </font>
    <font>
      <i/>
      <sz val="10"/>
      <name val="Arial"/>
    </font>
    <font>
      <b/>
      <sz val="12"/>
      <color rgb="FFFFFFFF"/>
      <name val="Arial"/>
    </font>
    <font>
      <b/>
      <sz val="11"/>
      <color rgb="FFC00000"/>
      <name val="Arial"/>
    </font>
    <font>
      <b/>
      <i/>
      <sz val="9"/>
      <color rgb="FFC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FFF00"/>
      </patternFill>
    </fill>
    <fill>
      <patternFill patternType="solid">
        <fgColor rgb="FFD9E1F2"/>
      </patternFill>
    </fill>
    <fill>
      <patternFill patternType="solid">
        <fgColor rgb="FF2038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3" borderId="0" xfId="0" applyFont="1" applyFill="1"/>
    <xf numFmtId="164" fontId="5" fillId="3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0" fontId="6" fillId="0" borderId="0" xfId="0" applyFont="1"/>
    <xf numFmtId="0" fontId="7" fillId="4" borderId="0" xfId="0" applyFont="1" applyFill="1"/>
    <xf numFmtId="164" fontId="7" fillId="4" borderId="1" xfId="0" applyNumberFormat="1" applyFont="1" applyFill="1" applyBorder="1" applyAlignment="1">
      <alignment horizontal="right"/>
    </xf>
    <xf numFmtId="165" fontId="7" fillId="4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" fontId="5" fillId="3" borderId="1" xfId="0" applyNumberFormat="1" applyFont="1" applyFill="1" applyBorder="1" applyAlignment="1">
      <alignment horizontal="right"/>
    </xf>
    <xf numFmtId="0" fontId="8" fillId="0" borderId="0" xfId="0" applyFont="1"/>
    <xf numFmtId="0" fontId="7" fillId="0" borderId="0" xfId="0" applyFont="1"/>
    <xf numFmtId="165" fontId="9" fillId="5" borderId="1" xfId="0" applyNumberFormat="1" applyFont="1" applyFill="1" applyBorder="1" applyAlignment="1">
      <alignment horizontal="center"/>
    </xf>
    <xf numFmtId="166" fontId="4" fillId="0" borderId="1" xfId="0" applyNumberFormat="1" applyFont="1" applyBorder="1"/>
    <xf numFmtId="164" fontId="0" fillId="0" borderId="1" xfId="0" applyNumberFormat="1" applyBorder="1"/>
    <xf numFmtId="164" fontId="6" fillId="0" borderId="1" xfId="0" applyNumberFormat="1" applyFont="1" applyBorder="1"/>
    <xf numFmtId="164" fontId="7" fillId="4" borderId="1" xfId="0" applyNumberFormat="1" applyFont="1" applyFill="1" applyBorder="1"/>
    <xf numFmtId="164" fontId="3" fillId="2" borderId="1" xfId="0" applyNumberFormat="1" applyFont="1" applyFill="1" applyBorder="1"/>
    <xf numFmtId="165" fontId="0" fillId="0" borderId="1" xfId="0" applyNumberFormat="1" applyBorder="1"/>
    <xf numFmtId="0" fontId="6" fillId="0" borderId="1" xfId="0" applyFont="1" applyBorder="1" applyAlignment="1">
      <alignment horizontal="center"/>
    </xf>
    <xf numFmtId="0" fontId="10" fillId="0" borderId="0" xfId="0" applyFont="1"/>
    <xf numFmtId="164" fontId="10" fillId="0" borderId="1" xfId="0" applyNumberFormat="1" applyFont="1" applyBorder="1"/>
    <xf numFmtId="0" fontId="9" fillId="5" borderId="1" xfId="0" applyFont="1" applyFill="1" applyBorder="1" applyAlignment="1">
      <alignment horizontal="center" wrapText="1"/>
    </xf>
    <xf numFmtId="165" fontId="10" fillId="0" borderId="1" xfId="0" applyNumberFormat="1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7" fontId="7" fillId="4" borderId="1" xfId="0" applyNumberFormat="1" applyFont="1" applyFill="1" applyBorder="1"/>
    <xf numFmtId="164" fontId="7" fillId="0" borderId="1" xfId="0" applyNumberFormat="1" applyFont="1" applyBorder="1"/>
    <xf numFmtId="0" fontId="11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4" borderId="0" xfId="0" applyFont="1" applyFill="1" applyAlignment="1">
      <alignment horizontal="left"/>
    </xf>
    <xf numFmtId="1" fontId="0" fillId="0" borderId="1" xfId="0" applyNumberFormat="1" applyBorder="1"/>
    <xf numFmtId="167" fontId="10" fillId="0" borderId="1" xfId="0" applyNumberFormat="1" applyFont="1" applyBorder="1"/>
    <xf numFmtId="0" fontId="10" fillId="4" borderId="0" xfId="0" applyFont="1" applyFill="1"/>
    <xf numFmtId="164" fontId="10" fillId="4" borderId="1" xfId="0" applyNumberFormat="1" applyFont="1" applyFill="1" applyBorder="1"/>
    <xf numFmtId="165" fontId="7" fillId="4" borderId="1" xfId="0" applyNumberFormat="1" applyFont="1" applyFill="1" applyBorder="1"/>
    <xf numFmtId="166" fontId="0" fillId="0" borderId="1" xfId="0" applyNumberFormat="1" applyBorder="1"/>
    <xf numFmtId="0" fontId="1" fillId="0" borderId="0" xfId="0" applyFont="1"/>
    <xf numFmtId="0" fontId="0" fillId="0" borderId="0" xfId="0"/>
    <xf numFmtId="0" fontId="3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กระแสเงินสดสะสม (Cumulative Cash Flow) ตลอดสัญญาเช่า 3 ปี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กระแสเงินสด!$D$19</c:f>
              <c:strCache>
                <c:ptCount val="1"/>
                <c:pt idx="0">
                  <c:v>Cumulative CF — 50%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กระแสเงินสด!$B$20:$B$56</c:f>
              <c:numCache>
                <c:formatCode>General</c:formatCode>
                <c:ptCount val="3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</c:numCache>
            </c:numRef>
          </c:cat>
          <c:val>
            <c:numRef>
              <c:f>กระแสเงินสด!$D$20:$D$56</c:f>
              <c:numCache>
                <c:formatCode>#,##0;\(#,##0\);"-"</c:formatCode>
                <c:ptCount val="37"/>
                <c:pt idx="0">
                  <c:v>-1200000</c:v>
                </c:pt>
                <c:pt idx="1">
                  <c:v>-1224075</c:v>
                </c:pt>
                <c:pt idx="2">
                  <c:v>-1248150</c:v>
                </c:pt>
                <c:pt idx="3">
                  <c:v>-1272225</c:v>
                </c:pt>
                <c:pt idx="4">
                  <c:v>-1296300</c:v>
                </c:pt>
                <c:pt idx="5">
                  <c:v>-1320375</c:v>
                </c:pt>
                <c:pt idx="6">
                  <c:v>-1344450</c:v>
                </c:pt>
                <c:pt idx="7">
                  <c:v>-1368525</c:v>
                </c:pt>
                <c:pt idx="8">
                  <c:v>-1392600</c:v>
                </c:pt>
                <c:pt idx="9">
                  <c:v>-1416675</c:v>
                </c:pt>
                <c:pt idx="10">
                  <c:v>-1440750</c:v>
                </c:pt>
                <c:pt idx="11">
                  <c:v>-1464825</c:v>
                </c:pt>
                <c:pt idx="12">
                  <c:v>-1488900</c:v>
                </c:pt>
                <c:pt idx="13">
                  <c:v>-1512975</c:v>
                </c:pt>
                <c:pt idx="14">
                  <c:v>-1537050</c:v>
                </c:pt>
                <c:pt idx="15">
                  <c:v>-1561125</c:v>
                </c:pt>
                <c:pt idx="16">
                  <c:v>-1585200</c:v>
                </c:pt>
                <c:pt idx="17">
                  <c:v>-1609275</c:v>
                </c:pt>
                <c:pt idx="18">
                  <c:v>-1633350</c:v>
                </c:pt>
                <c:pt idx="19">
                  <c:v>-1657425</c:v>
                </c:pt>
                <c:pt idx="20">
                  <c:v>-1681500</c:v>
                </c:pt>
                <c:pt idx="21">
                  <c:v>-1705575</c:v>
                </c:pt>
                <c:pt idx="22">
                  <c:v>-1729650</c:v>
                </c:pt>
                <c:pt idx="23">
                  <c:v>-1753725</c:v>
                </c:pt>
                <c:pt idx="24">
                  <c:v>-1777800</c:v>
                </c:pt>
                <c:pt idx="25">
                  <c:v>-1801875</c:v>
                </c:pt>
                <c:pt idx="26">
                  <c:v>-1825950</c:v>
                </c:pt>
                <c:pt idx="27">
                  <c:v>-1850025</c:v>
                </c:pt>
                <c:pt idx="28">
                  <c:v>-1874100</c:v>
                </c:pt>
                <c:pt idx="29">
                  <c:v>-1898175</c:v>
                </c:pt>
                <c:pt idx="30">
                  <c:v>-1922250</c:v>
                </c:pt>
                <c:pt idx="31">
                  <c:v>-1946325</c:v>
                </c:pt>
                <c:pt idx="32">
                  <c:v>-1970400</c:v>
                </c:pt>
                <c:pt idx="33">
                  <c:v>-1994475</c:v>
                </c:pt>
                <c:pt idx="34">
                  <c:v>-2018550</c:v>
                </c:pt>
                <c:pt idx="35">
                  <c:v>-2042625</c:v>
                </c:pt>
                <c:pt idx="36">
                  <c:v>-2066700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96A-4E7E-BF87-73AC3F9958EC}"/>
            </c:ext>
          </c:extLst>
        </c:ser>
        <c:ser>
          <c:idx val="1"/>
          <c:order val="1"/>
          <c:tx>
            <c:strRef>
              <c:f>กระแสเงินสด!$E$19</c:f>
              <c:strCache>
                <c:ptCount val="1"/>
                <c:pt idx="0">
                  <c:v>Cumulative CF — 60%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กระแสเงินสด!$B$20:$B$56</c:f>
              <c:numCache>
                <c:formatCode>General</c:formatCode>
                <c:ptCount val="3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</c:numCache>
            </c:numRef>
          </c:cat>
          <c:val>
            <c:numRef>
              <c:f>กระแสเงินสด!$E$20:$E$56</c:f>
              <c:numCache>
                <c:formatCode>#,##0;\(#,##0\);"-"</c:formatCode>
                <c:ptCount val="37"/>
                <c:pt idx="0">
                  <c:v>-1200000</c:v>
                </c:pt>
                <c:pt idx="1">
                  <c:v>-1206330</c:v>
                </c:pt>
                <c:pt idx="2">
                  <c:v>-1212660</c:v>
                </c:pt>
                <c:pt idx="3">
                  <c:v>-1218990</c:v>
                </c:pt>
                <c:pt idx="4">
                  <c:v>-1225320</c:v>
                </c:pt>
                <c:pt idx="5">
                  <c:v>-1231650</c:v>
                </c:pt>
                <c:pt idx="6">
                  <c:v>-1237980</c:v>
                </c:pt>
                <c:pt idx="7">
                  <c:v>-1244310</c:v>
                </c:pt>
                <c:pt idx="8">
                  <c:v>-1250640</c:v>
                </c:pt>
                <c:pt idx="9">
                  <c:v>-1256970</c:v>
                </c:pt>
                <c:pt idx="10">
                  <c:v>-1263300</c:v>
                </c:pt>
                <c:pt idx="11">
                  <c:v>-1269630</c:v>
                </c:pt>
                <c:pt idx="12">
                  <c:v>-1275960</c:v>
                </c:pt>
                <c:pt idx="13">
                  <c:v>-1282290</c:v>
                </c:pt>
                <c:pt idx="14">
                  <c:v>-1288620</c:v>
                </c:pt>
                <c:pt idx="15">
                  <c:v>-1294950</c:v>
                </c:pt>
                <c:pt idx="16">
                  <c:v>-1301280</c:v>
                </c:pt>
                <c:pt idx="17">
                  <c:v>-1307610</c:v>
                </c:pt>
                <c:pt idx="18">
                  <c:v>-1313940</c:v>
                </c:pt>
                <c:pt idx="19">
                  <c:v>-1320270</c:v>
                </c:pt>
                <c:pt idx="20">
                  <c:v>-1326600</c:v>
                </c:pt>
                <c:pt idx="21">
                  <c:v>-1332930</c:v>
                </c:pt>
                <c:pt idx="22">
                  <c:v>-1339260</c:v>
                </c:pt>
                <c:pt idx="23">
                  <c:v>-1345590</c:v>
                </c:pt>
                <c:pt idx="24">
                  <c:v>-1351920</c:v>
                </c:pt>
                <c:pt idx="25">
                  <c:v>-1358250</c:v>
                </c:pt>
                <c:pt idx="26">
                  <c:v>-1364580</c:v>
                </c:pt>
                <c:pt idx="27">
                  <c:v>-1370910</c:v>
                </c:pt>
                <c:pt idx="28">
                  <c:v>-1377240</c:v>
                </c:pt>
                <c:pt idx="29">
                  <c:v>-1383570</c:v>
                </c:pt>
                <c:pt idx="30">
                  <c:v>-1389900</c:v>
                </c:pt>
                <c:pt idx="31">
                  <c:v>-1396230</c:v>
                </c:pt>
                <c:pt idx="32">
                  <c:v>-1402560</c:v>
                </c:pt>
                <c:pt idx="33">
                  <c:v>-1408890</c:v>
                </c:pt>
                <c:pt idx="34">
                  <c:v>-1415220</c:v>
                </c:pt>
                <c:pt idx="35">
                  <c:v>-1421550</c:v>
                </c:pt>
                <c:pt idx="36">
                  <c:v>-1427880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96A-4E7E-BF87-73AC3F9958EC}"/>
            </c:ext>
          </c:extLst>
        </c:ser>
        <c:ser>
          <c:idx val="2"/>
          <c:order val="2"/>
          <c:tx>
            <c:strRef>
              <c:f>กระแสเงินสด!$F$19</c:f>
              <c:strCache>
                <c:ptCount val="1"/>
                <c:pt idx="0">
                  <c:v>Cumulative CF — 70%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กระแสเงินสด!$B$20:$B$56</c:f>
              <c:numCache>
                <c:formatCode>General</c:formatCode>
                <c:ptCount val="3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</c:numCache>
            </c:numRef>
          </c:cat>
          <c:val>
            <c:numRef>
              <c:f>กระแสเงินสด!$F$20:$F$56</c:f>
              <c:numCache>
                <c:formatCode>#,##0;\(#,##0\);"-"</c:formatCode>
                <c:ptCount val="37"/>
                <c:pt idx="0">
                  <c:v>-1200000</c:v>
                </c:pt>
                <c:pt idx="1">
                  <c:v>-1188585</c:v>
                </c:pt>
                <c:pt idx="2">
                  <c:v>-1177170</c:v>
                </c:pt>
                <c:pt idx="3">
                  <c:v>-1165755</c:v>
                </c:pt>
                <c:pt idx="4">
                  <c:v>-1154340</c:v>
                </c:pt>
                <c:pt idx="5">
                  <c:v>-1142925</c:v>
                </c:pt>
                <c:pt idx="6">
                  <c:v>-1131510</c:v>
                </c:pt>
                <c:pt idx="7">
                  <c:v>-1120095</c:v>
                </c:pt>
                <c:pt idx="8">
                  <c:v>-1108680</c:v>
                </c:pt>
                <c:pt idx="9">
                  <c:v>-1097265</c:v>
                </c:pt>
                <c:pt idx="10">
                  <c:v>-1085850</c:v>
                </c:pt>
                <c:pt idx="11">
                  <c:v>-1074435</c:v>
                </c:pt>
                <c:pt idx="12">
                  <c:v>-1063020</c:v>
                </c:pt>
                <c:pt idx="13">
                  <c:v>-1051605</c:v>
                </c:pt>
                <c:pt idx="14">
                  <c:v>-1040190</c:v>
                </c:pt>
                <c:pt idx="15">
                  <c:v>-1028775</c:v>
                </c:pt>
                <c:pt idx="16">
                  <c:v>-1017360</c:v>
                </c:pt>
                <c:pt idx="17">
                  <c:v>-1005945</c:v>
                </c:pt>
                <c:pt idx="18">
                  <c:v>-994530</c:v>
                </c:pt>
                <c:pt idx="19">
                  <c:v>-983115</c:v>
                </c:pt>
                <c:pt idx="20">
                  <c:v>-971700</c:v>
                </c:pt>
                <c:pt idx="21">
                  <c:v>-960285</c:v>
                </c:pt>
                <c:pt idx="22">
                  <c:v>-948870</c:v>
                </c:pt>
                <c:pt idx="23">
                  <c:v>-937455</c:v>
                </c:pt>
                <c:pt idx="24">
                  <c:v>-926040</c:v>
                </c:pt>
                <c:pt idx="25">
                  <c:v>-914625</c:v>
                </c:pt>
                <c:pt idx="26">
                  <c:v>-903210</c:v>
                </c:pt>
                <c:pt idx="27">
                  <c:v>-891795</c:v>
                </c:pt>
                <c:pt idx="28">
                  <c:v>-880380</c:v>
                </c:pt>
                <c:pt idx="29">
                  <c:v>-868965</c:v>
                </c:pt>
                <c:pt idx="30">
                  <c:v>-857550</c:v>
                </c:pt>
                <c:pt idx="31">
                  <c:v>-846135</c:v>
                </c:pt>
                <c:pt idx="32">
                  <c:v>-834720</c:v>
                </c:pt>
                <c:pt idx="33">
                  <c:v>-823305</c:v>
                </c:pt>
                <c:pt idx="34">
                  <c:v>-811890</c:v>
                </c:pt>
                <c:pt idx="35">
                  <c:v>-800475</c:v>
                </c:pt>
                <c:pt idx="36">
                  <c:v>-789060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96A-4E7E-BF87-73AC3F9958EC}"/>
            </c:ext>
          </c:extLst>
        </c:ser>
        <c:ser>
          <c:idx val="3"/>
          <c:order val="3"/>
          <c:tx>
            <c:strRef>
              <c:f>กระแสเงินสด!$G$19</c:f>
              <c:strCache>
                <c:ptCount val="1"/>
                <c:pt idx="0">
                  <c:v>Cumulative CF — 80%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กระแสเงินสด!$B$20:$B$56</c:f>
              <c:numCache>
                <c:formatCode>General</c:formatCode>
                <c:ptCount val="3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</c:numCache>
            </c:numRef>
          </c:cat>
          <c:val>
            <c:numRef>
              <c:f>กระแสเงินสด!$G$20:$G$56</c:f>
              <c:numCache>
                <c:formatCode>#,##0;\(#,##0\);"-"</c:formatCode>
                <c:ptCount val="37"/>
                <c:pt idx="0">
                  <c:v>-1200000</c:v>
                </c:pt>
                <c:pt idx="1">
                  <c:v>-1180007.8542056074</c:v>
                </c:pt>
                <c:pt idx="2">
                  <c:v>-1160015.7084112149</c:v>
                </c:pt>
                <c:pt idx="3">
                  <c:v>-1140023.5626168223</c:v>
                </c:pt>
                <c:pt idx="4">
                  <c:v>-1120031.4168224297</c:v>
                </c:pt>
                <c:pt idx="5">
                  <c:v>-1100039.2710280372</c:v>
                </c:pt>
                <c:pt idx="6">
                  <c:v>-1080047.1252336446</c:v>
                </c:pt>
                <c:pt idx="7">
                  <c:v>-1060054.9794392521</c:v>
                </c:pt>
                <c:pt idx="8">
                  <c:v>-1040062.8336448595</c:v>
                </c:pt>
                <c:pt idx="9">
                  <c:v>-1020070.6878504669</c:v>
                </c:pt>
                <c:pt idx="10">
                  <c:v>-1000078.5420560744</c:v>
                </c:pt>
                <c:pt idx="11">
                  <c:v>-980086.3962616818</c:v>
                </c:pt>
                <c:pt idx="12">
                  <c:v>-960094.25046728924</c:v>
                </c:pt>
                <c:pt idx="13">
                  <c:v>-940102.10467289668</c:v>
                </c:pt>
                <c:pt idx="14">
                  <c:v>-920109.95887850411</c:v>
                </c:pt>
                <c:pt idx="15">
                  <c:v>-900117.81308411155</c:v>
                </c:pt>
                <c:pt idx="16">
                  <c:v>-880125.66728971899</c:v>
                </c:pt>
                <c:pt idx="17">
                  <c:v>-860133.52149532642</c:v>
                </c:pt>
                <c:pt idx="18">
                  <c:v>-840141.37570093386</c:v>
                </c:pt>
                <c:pt idx="19">
                  <c:v>-820149.2299065413</c:v>
                </c:pt>
                <c:pt idx="20">
                  <c:v>-800157.08411214873</c:v>
                </c:pt>
                <c:pt idx="21">
                  <c:v>-780164.93831775617</c:v>
                </c:pt>
                <c:pt idx="22">
                  <c:v>-760172.79252336361</c:v>
                </c:pt>
                <c:pt idx="23">
                  <c:v>-740180.64672897104</c:v>
                </c:pt>
                <c:pt idx="24">
                  <c:v>-720188.50093457848</c:v>
                </c:pt>
                <c:pt idx="25">
                  <c:v>-700196.35514018591</c:v>
                </c:pt>
                <c:pt idx="26">
                  <c:v>-680204.20934579335</c:v>
                </c:pt>
                <c:pt idx="27">
                  <c:v>-660212.06355140079</c:v>
                </c:pt>
                <c:pt idx="28">
                  <c:v>-640219.91775700822</c:v>
                </c:pt>
                <c:pt idx="29">
                  <c:v>-620227.77196261566</c:v>
                </c:pt>
                <c:pt idx="30">
                  <c:v>-600235.6261682231</c:v>
                </c:pt>
                <c:pt idx="31">
                  <c:v>-580243.48037383053</c:v>
                </c:pt>
                <c:pt idx="32">
                  <c:v>-560251.33457943797</c:v>
                </c:pt>
                <c:pt idx="33">
                  <c:v>-540259.18878504541</c:v>
                </c:pt>
                <c:pt idx="34">
                  <c:v>-520267.0429906529</c:v>
                </c:pt>
                <c:pt idx="35">
                  <c:v>-500274.8971962604</c:v>
                </c:pt>
                <c:pt idx="36">
                  <c:v>-480282.75140186789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96A-4E7E-BF87-73AC3F9958EC}"/>
            </c:ext>
          </c:extLst>
        </c:ser>
        <c:ser>
          <c:idx val="4"/>
          <c:order val="4"/>
          <c:tx>
            <c:strRef>
              <c:f>กระแสเงินสด!$H$19</c:f>
              <c:strCache>
                <c:ptCount val="1"/>
                <c:pt idx="0">
                  <c:v>Cumulative CF — 90%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กระแสเงินสด!$B$20:$B$56</c:f>
              <c:numCache>
                <c:formatCode>General</c:formatCode>
                <c:ptCount val="3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</c:numCache>
            </c:numRef>
          </c:cat>
          <c:val>
            <c:numRef>
              <c:f>กระแสเงินสด!$H$20:$H$56</c:f>
              <c:numCache>
                <c:formatCode>#,##0;\(#,##0\);"-"</c:formatCode>
                <c:ptCount val="37"/>
                <c:pt idx="0">
                  <c:v>-1200000</c:v>
                </c:pt>
                <c:pt idx="1">
                  <c:v>-1163408.8359813085</c:v>
                </c:pt>
                <c:pt idx="2">
                  <c:v>-1126817.671962617</c:v>
                </c:pt>
                <c:pt idx="3">
                  <c:v>-1090226.5079439254</c:v>
                </c:pt>
                <c:pt idx="4">
                  <c:v>-1053635.3439252339</c:v>
                </c:pt>
                <c:pt idx="5">
                  <c:v>-1017044.1799065423</c:v>
                </c:pt>
                <c:pt idx="6">
                  <c:v>-980453.01588785066</c:v>
                </c:pt>
                <c:pt idx="7">
                  <c:v>-943861.85186915903</c:v>
                </c:pt>
                <c:pt idx="8">
                  <c:v>-907270.6878504674</c:v>
                </c:pt>
                <c:pt idx="9">
                  <c:v>-870679.52383177576</c:v>
                </c:pt>
                <c:pt idx="10">
                  <c:v>-834088.35981308413</c:v>
                </c:pt>
                <c:pt idx="11">
                  <c:v>-797497.19579439249</c:v>
                </c:pt>
                <c:pt idx="12">
                  <c:v>-760906.03177570086</c:v>
                </c:pt>
                <c:pt idx="13">
                  <c:v>-724314.86775700923</c:v>
                </c:pt>
                <c:pt idx="14">
                  <c:v>-687723.70373831759</c:v>
                </c:pt>
                <c:pt idx="15">
                  <c:v>-651132.53971962596</c:v>
                </c:pt>
                <c:pt idx="16">
                  <c:v>-614541.37570093432</c:v>
                </c:pt>
                <c:pt idx="17">
                  <c:v>-577950.21168224269</c:v>
                </c:pt>
                <c:pt idx="18">
                  <c:v>-541359.04766355106</c:v>
                </c:pt>
                <c:pt idx="19">
                  <c:v>-504767.88364485948</c:v>
                </c:pt>
                <c:pt idx="20">
                  <c:v>-468176.71962616791</c:v>
                </c:pt>
                <c:pt idx="21">
                  <c:v>-431585.55560747633</c:v>
                </c:pt>
                <c:pt idx="22">
                  <c:v>-394994.39158878475</c:v>
                </c:pt>
                <c:pt idx="23">
                  <c:v>-358403.22757009318</c:v>
                </c:pt>
                <c:pt idx="24">
                  <c:v>-321812.0635514016</c:v>
                </c:pt>
                <c:pt idx="25">
                  <c:v>-285220.89953271003</c:v>
                </c:pt>
                <c:pt idx="26">
                  <c:v>-248629.73551401845</c:v>
                </c:pt>
                <c:pt idx="27">
                  <c:v>-212038.57149532688</c:v>
                </c:pt>
                <c:pt idx="28">
                  <c:v>-175447.4074766353</c:v>
                </c:pt>
                <c:pt idx="29">
                  <c:v>-138856.24345794372</c:v>
                </c:pt>
                <c:pt idx="30">
                  <c:v>-102265.07943925215</c:v>
                </c:pt>
                <c:pt idx="31">
                  <c:v>-65673.915420560574</c:v>
                </c:pt>
                <c:pt idx="32">
                  <c:v>-29082.751401868991</c:v>
                </c:pt>
                <c:pt idx="33">
                  <c:v>7508.4126168225921</c:v>
                </c:pt>
                <c:pt idx="34">
                  <c:v>44099.576635514175</c:v>
                </c:pt>
                <c:pt idx="35">
                  <c:v>80690.740654205758</c:v>
                </c:pt>
                <c:pt idx="36">
                  <c:v>117281.90467289733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96A-4E7E-BF87-73AC3F99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เดือนที่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บาท</a:t>
                </a:r>
              </a:p>
            </c:rich>
          </c:tx>
          <c:overlay val="1"/>
        </c:title>
        <c:numFmt formatCode="#,##0;\(#,##0\);&quot;-&quot;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18</xdr:row>
      <xdr:rowOff>0</xdr:rowOff>
    </xdr:from>
    <xdr:ext cx="8640000" cy="36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8"/>
  <sheetViews>
    <sheetView showGridLines="0" tabSelected="1" workbookViewId="0"/>
  </sheetViews>
  <sheetFormatPr defaultRowHeight="14.4" x14ac:dyDescent="0.3"/>
  <cols>
    <col min="1" max="1" width="3" customWidth="1"/>
    <col min="2" max="2" width="42" customWidth="1"/>
    <col min="3" max="3" width="3" customWidth="1"/>
    <col min="4" max="4" width="16" customWidth="1"/>
    <col min="5" max="5" width="46" customWidth="1"/>
  </cols>
  <sheetData>
    <row r="1" spans="2:7" ht="24" customHeight="1" x14ac:dyDescent="0.3">
      <c r="B1" s="41" t="s">
        <v>0</v>
      </c>
      <c r="C1" s="42"/>
      <c r="D1" s="42"/>
      <c r="E1" s="42"/>
    </row>
    <row r="2" spans="2:7" x14ac:dyDescent="0.3">
      <c r="B2" s="1" t="s">
        <v>1</v>
      </c>
    </row>
    <row r="4" spans="2:7" x14ac:dyDescent="0.3">
      <c r="B4" s="43" t="s">
        <v>2</v>
      </c>
      <c r="C4" s="44"/>
      <c r="D4" s="44"/>
      <c r="E4" s="44"/>
      <c r="F4" s="44"/>
      <c r="G4" s="44"/>
    </row>
    <row r="5" spans="2:7" x14ac:dyDescent="0.3">
      <c r="B5" s="3" t="s">
        <v>3</v>
      </c>
      <c r="D5" s="4" t="s">
        <v>4</v>
      </c>
    </row>
    <row r="6" spans="2:7" x14ac:dyDescent="0.3">
      <c r="B6" s="3" t="s">
        <v>5</v>
      </c>
      <c r="D6" s="5">
        <v>40000</v>
      </c>
    </row>
    <row r="7" spans="2:7" x14ac:dyDescent="0.3">
      <c r="B7" s="3" t="s">
        <v>6</v>
      </c>
      <c r="D7" s="5">
        <v>35000</v>
      </c>
    </row>
    <row r="8" spans="2:7" x14ac:dyDescent="0.3">
      <c r="B8" s="3" t="s">
        <v>7</v>
      </c>
      <c r="D8" s="5">
        <v>3</v>
      </c>
    </row>
    <row r="9" spans="2:7" x14ac:dyDescent="0.3">
      <c r="B9" s="3" t="s">
        <v>8</v>
      </c>
      <c r="D9" s="5">
        <v>2</v>
      </c>
    </row>
    <row r="10" spans="2:7" x14ac:dyDescent="0.3">
      <c r="B10" s="3" t="s">
        <v>9</v>
      </c>
      <c r="D10" s="6">
        <f>D6*D9</f>
        <v>80000</v>
      </c>
      <c r="E10" s="1" t="s">
        <v>10</v>
      </c>
    </row>
    <row r="11" spans="2:7" x14ac:dyDescent="0.3">
      <c r="B11" s="3" t="s">
        <v>11</v>
      </c>
      <c r="D11" s="7">
        <v>0.05</v>
      </c>
    </row>
    <row r="13" spans="2:7" x14ac:dyDescent="0.3">
      <c r="B13" s="43" t="s">
        <v>12</v>
      </c>
      <c r="C13" s="44"/>
      <c r="D13" s="44"/>
      <c r="E13" s="44"/>
      <c r="F13" s="44"/>
      <c r="G13" s="44"/>
    </row>
    <row r="14" spans="2:7" x14ac:dyDescent="0.3">
      <c r="B14" s="8" t="s">
        <v>13</v>
      </c>
    </row>
    <row r="15" spans="2:7" x14ac:dyDescent="0.3">
      <c r="B15" s="3" t="s">
        <v>14</v>
      </c>
      <c r="D15" s="5">
        <v>400000</v>
      </c>
    </row>
    <row r="16" spans="2:7" x14ac:dyDescent="0.3">
      <c r="B16" s="3" t="s">
        <v>15</v>
      </c>
      <c r="D16" s="5">
        <v>150000</v>
      </c>
    </row>
    <row r="17" spans="2:7" x14ac:dyDescent="0.3">
      <c r="B17" s="3" t="s">
        <v>16</v>
      </c>
      <c r="D17" s="5">
        <v>150000</v>
      </c>
    </row>
    <row r="18" spans="2:7" x14ac:dyDescent="0.3">
      <c r="B18" s="3" t="s">
        <v>17</v>
      </c>
      <c r="D18" s="5">
        <v>200000</v>
      </c>
    </row>
    <row r="19" spans="2:7" x14ac:dyDescent="0.3">
      <c r="B19" s="3" t="s">
        <v>18</v>
      </c>
      <c r="D19" s="5">
        <v>100000</v>
      </c>
    </row>
    <row r="20" spans="2:7" x14ac:dyDescent="0.3">
      <c r="B20" s="3" t="s">
        <v>19</v>
      </c>
      <c r="D20" s="5">
        <v>50000</v>
      </c>
    </row>
    <row r="21" spans="2:7" x14ac:dyDescent="0.3">
      <c r="B21" s="3" t="s">
        <v>20</v>
      </c>
      <c r="D21" s="5">
        <v>0</v>
      </c>
    </row>
    <row r="22" spans="2:7" x14ac:dyDescent="0.3">
      <c r="B22" s="3" t="s">
        <v>21</v>
      </c>
      <c r="D22" s="5">
        <v>0</v>
      </c>
    </row>
    <row r="23" spans="2:7" x14ac:dyDescent="0.3">
      <c r="B23" s="9" t="s">
        <v>22</v>
      </c>
      <c r="D23" s="10">
        <f>SUM(D15:D22)</f>
        <v>1050000</v>
      </c>
    </row>
    <row r="24" spans="2:7" x14ac:dyDescent="0.3">
      <c r="B24" s="3" t="s">
        <v>23</v>
      </c>
      <c r="D24" s="5">
        <v>1200000</v>
      </c>
    </row>
    <row r="25" spans="2:7" x14ac:dyDescent="0.3">
      <c r="B25" s="3" t="s">
        <v>24</v>
      </c>
      <c r="D25" s="6">
        <f>D24-D23-D10</f>
        <v>70000</v>
      </c>
      <c r="E25" s="1" t="s">
        <v>25</v>
      </c>
    </row>
    <row r="26" spans="2:7" x14ac:dyDescent="0.3">
      <c r="B26" s="9" t="s">
        <v>26</v>
      </c>
      <c r="D26" s="10">
        <f>D24</f>
        <v>1200000</v>
      </c>
      <c r="E26" s="1" t="s">
        <v>27</v>
      </c>
    </row>
    <row r="28" spans="2:7" x14ac:dyDescent="0.3">
      <c r="B28" s="43" t="s">
        <v>28</v>
      </c>
      <c r="C28" s="44"/>
      <c r="D28" s="44"/>
      <c r="E28" s="44"/>
      <c r="F28" s="44"/>
      <c r="G28" s="44"/>
    </row>
    <row r="29" spans="2:7" x14ac:dyDescent="0.3">
      <c r="B29" s="3" t="s">
        <v>29</v>
      </c>
      <c r="D29" s="5">
        <v>3500</v>
      </c>
    </row>
    <row r="30" spans="2:7" x14ac:dyDescent="0.3">
      <c r="B30" s="3" t="s">
        <v>30</v>
      </c>
      <c r="D30" s="5">
        <v>3500</v>
      </c>
    </row>
    <row r="31" spans="2:7" x14ac:dyDescent="0.3">
      <c r="B31" s="3" t="s">
        <v>31</v>
      </c>
      <c r="D31" s="5">
        <v>0</v>
      </c>
    </row>
    <row r="32" spans="2:7" x14ac:dyDescent="0.3">
      <c r="B32" s="3" t="s">
        <v>32</v>
      </c>
      <c r="D32" s="5">
        <v>0</v>
      </c>
    </row>
    <row r="33" spans="2:7" x14ac:dyDescent="0.3">
      <c r="B33" s="3" t="s">
        <v>33</v>
      </c>
      <c r="D33" s="5">
        <v>30</v>
      </c>
    </row>
    <row r="34" spans="2:7" x14ac:dyDescent="0.3">
      <c r="B34" s="3" t="s">
        <v>34</v>
      </c>
      <c r="D34" s="5">
        <v>0</v>
      </c>
    </row>
    <row r="35" spans="2:7" x14ac:dyDescent="0.3">
      <c r="B35" s="3" t="s">
        <v>35</v>
      </c>
      <c r="D35" s="5">
        <v>0</v>
      </c>
    </row>
    <row r="37" spans="2:7" x14ac:dyDescent="0.3">
      <c r="B37" s="43" t="s">
        <v>36</v>
      </c>
      <c r="C37" s="44"/>
      <c r="D37" s="44"/>
      <c r="E37" s="44"/>
      <c r="F37" s="44"/>
      <c r="G37" s="44"/>
    </row>
    <row r="38" spans="2:7" x14ac:dyDescent="0.3">
      <c r="B38" s="8" t="s">
        <v>37</v>
      </c>
    </row>
    <row r="39" spans="2:7" x14ac:dyDescent="0.3">
      <c r="B39" s="3" t="s">
        <v>38</v>
      </c>
      <c r="D39" s="7">
        <v>0.85</v>
      </c>
    </row>
    <row r="40" spans="2:7" x14ac:dyDescent="0.3">
      <c r="B40" s="3" t="s">
        <v>39</v>
      </c>
      <c r="D40" s="7">
        <v>0.85</v>
      </c>
    </row>
    <row r="41" spans="2:7" x14ac:dyDescent="0.3">
      <c r="B41" s="3" t="s">
        <v>40</v>
      </c>
      <c r="D41" s="7">
        <v>0.85</v>
      </c>
    </row>
    <row r="42" spans="2:7" x14ac:dyDescent="0.3">
      <c r="B42" s="3" t="s">
        <v>41</v>
      </c>
      <c r="D42" s="7">
        <v>0.85</v>
      </c>
    </row>
    <row r="43" spans="2:7" x14ac:dyDescent="0.3">
      <c r="B43" s="9" t="s">
        <v>42</v>
      </c>
      <c r="D43" s="11">
        <f>AVERAGE(D39,D40,D41,D42)</f>
        <v>0.85</v>
      </c>
      <c r="E43" s="1" t="s">
        <v>43</v>
      </c>
    </row>
    <row r="45" spans="2:7" x14ac:dyDescent="0.3">
      <c r="B45" s="43" t="s">
        <v>44</v>
      </c>
      <c r="C45" s="44"/>
      <c r="D45" s="44"/>
      <c r="E45" s="44"/>
      <c r="F45" s="44"/>
      <c r="G45" s="44"/>
    </row>
    <row r="46" spans="2:7" x14ac:dyDescent="0.3">
      <c r="B46" s="3" t="s">
        <v>45</v>
      </c>
      <c r="D46" s="7">
        <v>0.155</v>
      </c>
    </row>
    <row r="48" spans="2:7" x14ac:dyDescent="0.3">
      <c r="B48" s="43" t="s">
        <v>46</v>
      </c>
      <c r="C48" s="44"/>
      <c r="D48" s="44"/>
      <c r="E48" s="44"/>
      <c r="F48" s="44"/>
      <c r="G48" s="44"/>
    </row>
    <row r="49" spans="2:7" x14ac:dyDescent="0.3">
      <c r="B49" s="3" t="s">
        <v>47</v>
      </c>
      <c r="D49" s="5">
        <v>12000</v>
      </c>
    </row>
    <row r="50" spans="2:7" x14ac:dyDescent="0.3">
      <c r="B50" s="3" t="s">
        <v>48</v>
      </c>
      <c r="D50" s="5">
        <v>30000</v>
      </c>
    </row>
    <row r="51" spans="2:7" x14ac:dyDescent="0.3">
      <c r="B51" s="3" t="s">
        <v>49</v>
      </c>
      <c r="D51" s="5">
        <v>20000</v>
      </c>
    </row>
    <row r="52" spans="2:7" x14ac:dyDescent="0.3">
      <c r="B52" s="3" t="s">
        <v>50</v>
      </c>
      <c r="D52" s="5">
        <v>3000</v>
      </c>
    </row>
    <row r="53" spans="2:7" x14ac:dyDescent="0.3">
      <c r="B53" s="3" t="s">
        <v>51</v>
      </c>
      <c r="D53" s="5">
        <v>800</v>
      </c>
    </row>
    <row r="54" spans="2:7" x14ac:dyDescent="0.3">
      <c r="B54" s="3" t="s">
        <v>52</v>
      </c>
      <c r="D54" s="5">
        <v>0</v>
      </c>
    </row>
    <row r="55" spans="2:7" x14ac:dyDescent="0.3">
      <c r="B55" s="3" t="s">
        <v>53</v>
      </c>
      <c r="D55" s="5">
        <v>5000</v>
      </c>
    </row>
    <row r="56" spans="2:7" x14ac:dyDescent="0.3">
      <c r="B56" s="3" t="s">
        <v>54</v>
      </c>
      <c r="D56" s="6">
        <f>D6*D11</f>
        <v>2000</v>
      </c>
      <c r="E56" s="1" t="s">
        <v>55</v>
      </c>
    </row>
    <row r="57" spans="2:7" x14ac:dyDescent="0.3">
      <c r="B57" s="9" t="s">
        <v>56</v>
      </c>
      <c r="D57" s="10">
        <f>SUM(D49:D56)</f>
        <v>72800</v>
      </c>
    </row>
    <row r="58" spans="2:7" x14ac:dyDescent="0.3">
      <c r="B58" s="3" t="s">
        <v>57</v>
      </c>
      <c r="D58" s="5">
        <v>0</v>
      </c>
    </row>
    <row r="60" spans="2:7" x14ac:dyDescent="0.3">
      <c r="B60" s="43" t="s">
        <v>58</v>
      </c>
      <c r="C60" s="44"/>
      <c r="D60" s="44"/>
      <c r="E60" s="44"/>
      <c r="F60" s="44"/>
      <c r="G60" s="44"/>
    </row>
    <row r="61" spans="2:7" x14ac:dyDescent="0.3">
      <c r="B61" s="3" t="s">
        <v>59</v>
      </c>
      <c r="D61" s="7">
        <v>0.5</v>
      </c>
    </row>
    <row r="62" spans="2:7" x14ac:dyDescent="0.3">
      <c r="B62" s="3" t="s">
        <v>60</v>
      </c>
      <c r="D62" s="12">
        <f>1-D61</f>
        <v>0.5</v>
      </c>
      <c r="E62" s="1" t="s">
        <v>61</v>
      </c>
    </row>
    <row r="63" spans="2:7" x14ac:dyDescent="0.3">
      <c r="B63" s="3" t="s">
        <v>62</v>
      </c>
      <c r="D63" s="13">
        <v>0</v>
      </c>
    </row>
    <row r="65" spans="2:7" x14ac:dyDescent="0.3">
      <c r="B65" s="43" t="s">
        <v>63</v>
      </c>
      <c r="C65" s="44"/>
      <c r="D65" s="44"/>
      <c r="E65" s="44"/>
      <c r="F65" s="44"/>
      <c r="G65" s="44"/>
    </row>
    <row r="66" spans="2:7" x14ac:dyDescent="0.3">
      <c r="B66" s="3" t="s">
        <v>64</v>
      </c>
      <c r="D66" s="5">
        <v>300000</v>
      </c>
    </row>
    <row r="67" spans="2:7" x14ac:dyDescent="0.3">
      <c r="B67" s="3" t="s">
        <v>65</v>
      </c>
      <c r="D67" s="5">
        <v>3000000</v>
      </c>
    </row>
    <row r="68" spans="2:7" x14ac:dyDescent="0.3">
      <c r="B68" s="3" t="s">
        <v>66</v>
      </c>
      <c r="D68" s="7">
        <v>0.15</v>
      </c>
    </row>
    <row r="69" spans="2:7" x14ac:dyDescent="0.3">
      <c r="B69" s="3" t="s">
        <v>67</v>
      </c>
      <c r="D69" s="7">
        <v>0.2</v>
      </c>
    </row>
    <row r="70" spans="2:7" x14ac:dyDescent="0.3">
      <c r="B70" s="3" t="s">
        <v>68</v>
      </c>
      <c r="D70" s="7">
        <v>0.1</v>
      </c>
    </row>
    <row r="71" spans="2:7" x14ac:dyDescent="0.3">
      <c r="B71" s="3" t="s">
        <v>69</v>
      </c>
      <c r="D71" s="5">
        <v>3</v>
      </c>
    </row>
    <row r="72" spans="2:7" x14ac:dyDescent="0.3">
      <c r="B72" s="3" t="s">
        <v>70</v>
      </c>
      <c r="D72" s="7">
        <v>7.0000000000000007E-2</v>
      </c>
    </row>
    <row r="73" spans="2:7" x14ac:dyDescent="0.3">
      <c r="B73" s="3" t="s">
        <v>71</v>
      </c>
      <c r="D73" s="5">
        <v>1800000</v>
      </c>
    </row>
    <row r="75" spans="2:7" x14ac:dyDescent="0.3">
      <c r="B75" s="43" t="s">
        <v>72</v>
      </c>
      <c r="C75" s="44"/>
      <c r="D75" s="44"/>
      <c r="E75" s="44"/>
      <c r="F75" s="44"/>
      <c r="G75" s="44"/>
    </row>
    <row r="76" spans="2:7" x14ac:dyDescent="0.3">
      <c r="B76" s="14" t="s">
        <v>73</v>
      </c>
    </row>
    <row r="77" spans="2:7" x14ac:dyDescent="0.3">
      <c r="B77" s="3" t="s">
        <v>74</v>
      </c>
      <c r="D77" s="7">
        <v>0.5</v>
      </c>
    </row>
    <row r="78" spans="2:7" x14ac:dyDescent="0.3">
      <c r="B78" s="3" t="s">
        <v>75</v>
      </c>
      <c r="D78" s="5">
        <v>100000</v>
      </c>
    </row>
    <row r="79" spans="2:7" x14ac:dyDescent="0.3">
      <c r="B79" s="3" t="s">
        <v>76</v>
      </c>
      <c r="D79" s="5">
        <v>60000</v>
      </c>
    </row>
    <row r="80" spans="2:7" x14ac:dyDescent="0.3">
      <c r="B80" s="3" t="s">
        <v>77</v>
      </c>
      <c r="D80" s="5">
        <v>150000</v>
      </c>
    </row>
    <row r="81" spans="2:7" x14ac:dyDescent="0.3">
      <c r="B81" s="3" t="s">
        <v>78</v>
      </c>
      <c r="D81" s="7">
        <v>0</v>
      </c>
    </row>
    <row r="82" spans="2:7" x14ac:dyDescent="0.3">
      <c r="B82" s="3" t="s">
        <v>79</v>
      </c>
      <c r="D82" s="5">
        <v>300000</v>
      </c>
    </row>
    <row r="83" spans="2:7" x14ac:dyDescent="0.3">
      <c r="B83" s="3" t="s">
        <v>80</v>
      </c>
      <c r="D83" s="7">
        <v>0.05</v>
      </c>
    </row>
    <row r="84" spans="2:7" x14ac:dyDescent="0.3">
      <c r="B84" s="3" t="s">
        <v>81</v>
      </c>
      <c r="D84" s="5">
        <v>500000</v>
      </c>
    </row>
    <row r="85" spans="2:7" x14ac:dyDescent="0.3">
      <c r="B85" s="3" t="s">
        <v>82</v>
      </c>
      <c r="D85" s="7">
        <v>0.1</v>
      </c>
    </row>
    <row r="86" spans="2:7" x14ac:dyDescent="0.3">
      <c r="B86" s="3" t="s">
        <v>83</v>
      </c>
      <c r="D86" s="5">
        <v>750000</v>
      </c>
    </row>
    <row r="87" spans="2:7" x14ac:dyDescent="0.3">
      <c r="B87" s="3" t="s">
        <v>84</v>
      </c>
      <c r="D87" s="7">
        <v>0.15</v>
      </c>
    </row>
    <row r="88" spans="2:7" x14ac:dyDescent="0.3">
      <c r="B88" s="3" t="s">
        <v>85</v>
      </c>
      <c r="D88" s="5">
        <v>1000000</v>
      </c>
    </row>
    <row r="89" spans="2:7" x14ac:dyDescent="0.3">
      <c r="B89" s="3" t="s">
        <v>86</v>
      </c>
      <c r="D89" s="7">
        <v>0.2</v>
      </c>
    </row>
    <row r="90" spans="2:7" x14ac:dyDescent="0.3">
      <c r="B90" s="3" t="s">
        <v>87</v>
      </c>
      <c r="D90" s="5">
        <v>2000000</v>
      </c>
    </row>
    <row r="91" spans="2:7" x14ac:dyDescent="0.3">
      <c r="B91" s="3" t="s">
        <v>88</v>
      </c>
      <c r="D91" s="7">
        <v>0.25</v>
      </c>
    </row>
    <row r="92" spans="2:7" x14ac:dyDescent="0.3">
      <c r="B92" s="3" t="s">
        <v>89</v>
      </c>
      <c r="D92" s="5">
        <v>5000000</v>
      </c>
    </row>
    <row r="93" spans="2:7" x14ac:dyDescent="0.3">
      <c r="B93" s="3" t="s">
        <v>90</v>
      </c>
      <c r="D93" s="7">
        <v>0.3</v>
      </c>
    </row>
    <row r="94" spans="2:7" x14ac:dyDescent="0.3">
      <c r="B94" s="3" t="s">
        <v>91</v>
      </c>
      <c r="D94" s="7">
        <v>0.35</v>
      </c>
    </row>
    <row r="96" spans="2:7" x14ac:dyDescent="0.3">
      <c r="B96" s="43" t="s">
        <v>92</v>
      </c>
      <c r="C96" s="44"/>
      <c r="D96" s="44"/>
      <c r="E96" s="44"/>
      <c r="F96" s="44"/>
      <c r="G96" s="44"/>
    </row>
    <row r="97" spans="2:2" x14ac:dyDescent="0.3">
      <c r="B97" s="14" t="s">
        <v>93</v>
      </c>
    </row>
    <row r="98" spans="2:2" x14ac:dyDescent="0.3">
      <c r="B98" s="8" t="s">
        <v>94</v>
      </c>
    </row>
  </sheetData>
  <mergeCells count="11">
    <mergeCell ref="B65:G65"/>
    <mergeCell ref="B75:G75"/>
    <mergeCell ref="B96:G96"/>
    <mergeCell ref="B13:G13"/>
    <mergeCell ref="B48:G48"/>
    <mergeCell ref="B1:E1"/>
    <mergeCell ref="B28:G28"/>
    <mergeCell ref="B37:G37"/>
    <mergeCell ref="B60:G60"/>
    <mergeCell ref="B45:G45"/>
    <mergeCell ref="B4:G4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9"/>
  <sheetViews>
    <sheetView showGridLines="0" workbookViewId="0"/>
  </sheetViews>
  <sheetFormatPr defaultRowHeight="14.4" x14ac:dyDescent="0.3"/>
  <cols>
    <col min="1" max="1" width="3" customWidth="1"/>
    <col min="2" max="2" width="40" customWidth="1"/>
    <col min="3" max="3" width="2" customWidth="1"/>
    <col min="4" max="8" width="15" customWidth="1"/>
    <col min="9" max="9" width="3" customWidth="1"/>
  </cols>
  <sheetData>
    <row r="1" spans="2:8" ht="22.05" customHeight="1" x14ac:dyDescent="0.3">
      <c r="B1" s="41" t="s">
        <v>95</v>
      </c>
      <c r="C1" s="42"/>
      <c r="D1" s="42"/>
      <c r="E1" s="42"/>
      <c r="F1" s="42"/>
      <c r="G1" s="42"/>
      <c r="H1" s="42"/>
    </row>
    <row r="3" spans="2:8" ht="15.6" x14ac:dyDescent="0.3">
      <c r="B3" s="15" t="s">
        <v>96</v>
      </c>
      <c r="D3" s="16">
        <v>0.5</v>
      </c>
      <c r="E3" s="16">
        <v>0.6</v>
      </c>
      <c r="F3" s="16">
        <v>0.7</v>
      </c>
      <c r="G3" s="16">
        <v>0.8</v>
      </c>
      <c r="H3" s="16">
        <v>0.9</v>
      </c>
    </row>
    <row r="4" spans="2:8" x14ac:dyDescent="0.3">
      <c r="B4" s="3" t="s">
        <v>97</v>
      </c>
      <c r="D4" s="17">
        <f>สมมติฐาน!D33*D3</f>
        <v>15</v>
      </c>
      <c r="E4" s="17">
        <f>สมมติฐาน!D33*E3</f>
        <v>18</v>
      </c>
      <c r="F4" s="17">
        <f>สมมติฐาน!D33*F3</f>
        <v>21</v>
      </c>
      <c r="G4" s="17">
        <f>สมมติฐาน!D33*G3</f>
        <v>24</v>
      </c>
      <c r="H4" s="17">
        <f>สมมติฐาน!D33*H3</f>
        <v>27</v>
      </c>
    </row>
    <row r="5" spans="2:8" x14ac:dyDescent="0.3">
      <c r="B5" s="3" t="s">
        <v>98</v>
      </c>
      <c r="D5" s="18">
        <f>D4*สมมติฐาน!D29</f>
        <v>52500</v>
      </c>
      <c r="E5" s="18">
        <f>E4*สมมติฐาน!D29</f>
        <v>63000</v>
      </c>
      <c r="F5" s="18">
        <f>F4*สมมติฐาน!D29</f>
        <v>73500</v>
      </c>
      <c r="G5" s="18">
        <f>G4*สมมติฐาน!D29</f>
        <v>84000</v>
      </c>
      <c r="H5" s="18">
        <f>H4*สมมติฐาน!D29</f>
        <v>94500</v>
      </c>
    </row>
    <row r="6" spans="2:8" x14ac:dyDescent="0.3">
      <c r="B6" s="3" t="s">
        <v>99</v>
      </c>
      <c r="D6" s="18">
        <f>D4*สมมติฐาน!D30</f>
        <v>52500</v>
      </c>
      <c r="E6" s="18">
        <f>E4*สมมติฐาน!D30</f>
        <v>63000</v>
      </c>
      <c r="F6" s="18">
        <f>F4*สมมติฐาน!D30</f>
        <v>73500</v>
      </c>
      <c r="G6" s="18">
        <f>G4*สมมติฐาน!D30</f>
        <v>84000</v>
      </c>
      <c r="H6" s="18">
        <f>H4*สมมติฐาน!D30</f>
        <v>94500</v>
      </c>
    </row>
    <row r="7" spans="2:8" x14ac:dyDescent="0.3">
      <c r="B7" s="3" t="s">
        <v>100</v>
      </c>
      <c r="D7" s="18">
        <f>D4*สมมติฐาน!D31</f>
        <v>0</v>
      </c>
      <c r="E7" s="18">
        <f>E4*สมมติฐาน!D31</f>
        <v>0</v>
      </c>
      <c r="F7" s="18">
        <f>F4*สมมติฐาน!D31</f>
        <v>0</v>
      </c>
      <c r="G7" s="18">
        <f>G4*สมมติฐาน!D31</f>
        <v>0</v>
      </c>
      <c r="H7" s="18">
        <f>H4*สมมติฐาน!D31</f>
        <v>0</v>
      </c>
    </row>
    <row r="8" spans="2:8" x14ac:dyDescent="0.3">
      <c r="B8" s="3" t="s">
        <v>101</v>
      </c>
      <c r="D8" s="18">
        <f>D4*สมมติฐาน!D32</f>
        <v>0</v>
      </c>
      <c r="E8" s="18">
        <f>E4*สมมติฐาน!D32</f>
        <v>0</v>
      </c>
      <c r="F8" s="18">
        <f>F4*สมมติฐาน!D32</f>
        <v>0</v>
      </c>
      <c r="G8" s="18">
        <f>G4*สมมติฐาน!D32</f>
        <v>0</v>
      </c>
      <c r="H8" s="18">
        <f>H4*สมมติฐาน!D32</f>
        <v>0</v>
      </c>
    </row>
    <row r="9" spans="2:8" x14ac:dyDescent="0.3">
      <c r="B9" s="3" t="s">
        <v>102</v>
      </c>
      <c r="D9" s="18">
        <f>D5+D6+D7+D8</f>
        <v>105000</v>
      </c>
      <c r="E9" s="18">
        <f>E5+E6+E7+E8</f>
        <v>126000</v>
      </c>
      <c r="F9" s="18">
        <f>F5+F6+F7+F8</f>
        <v>147000</v>
      </c>
      <c r="G9" s="18">
        <f>G5+G6+G7+G8</f>
        <v>168000</v>
      </c>
      <c r="H9" s="18">
        <f>H5+H6+H7+H8</f>
        <v>189000</v>
      </c>
    </row>
    <row r="10" spans="2:8" x14ac:dyDescent="0.3">
      <c r="B10" s="3" t="s">
        <v>103</v>
      </c>
      <c r="D10" s="18">
        <f>-D9*สมมติฐาน!D46</f>
        <v>-16275</v>
      </c>
      <c r="E10" s="18">
        <f>-E9*สมมติฐาน!D46</f>
        <v>-19530</v>
      </c>
      <c r="F10" s="18">
        <f>-F9*สมมติฐาน!D46</f>
        <v>-22785</v>
      </c>
      <c r="G10" s="18">
        <f>-G9*สมมติฐาน!D46</f>
        <v>-26040</v>
      </c>
      <c r="H10" s="18">
        <f>-H9*สมมติฐาน!D46</f>
        <v>-29295</v>
      </c>
    </row>
    <row r="11" spans="2:8" x14ac:dyDescent="0.3">
      <c r="B11" s="3" t="s">
        <v>104</v>
      </c>
      <c r="D11" s="18">
        <f>D9+D10</f>
        <v>88725</v>
      </c>
      <c r="E11" s="18">
        <f>E9+E10</f>
        <v>106470</v>
      </c>
      <c r="F11" s="18">
        <f>F9+F10</f>
        <v>124215</v>
      </c>
      <c r="G11" s="18">
        <f>G9+G10</f>
        <v>141960</v>
      </c>
      <c r="H11" s="18">
        <f>H9+H10</f>
        <v>159705</v>
      </c>
    </row>
    <row r="12" spans="2:8" x14ac:dyDescent="0.3">
      <c r="B12" s="3" t="s">
        <v>105</v>
      </c>
      <c r="D12" s="18">
        <f>สมมติฐาน!D34</f>
        <v>0</v>
      </c>
      <c r="E12" s="18">
        <f>สมมติฐาน!D34</f>
        <v>0</v>
      </c>
      <c r="F12" s="18">
        <f>สมมติฐาน!D34</f>
        <v>0</v>
      </c>
      <c r="G12" s="18">
        <f>สมมติฐาน!D34</f>
        <v>0</v>
      </c>
      <c r="H12" s="18">
        <f>สมมติฐาน!D34</f>
        <v>0</v>
      </c>
    </row>
    <row r="13" spans="2:8" x14ac:dyDescent="0.3">
      <c r="B13" s="3" t="s">
        <v>106</v>
      </c>
      <c r="D13" s="18">
        <f>สมมติฐาน!D35</f>
        <v>0</v>
      </c>
      <c r="E13" s="18">
        <f>สมมติฐาน!D35</f>
        <v>0</v>
      </c>
      <c r="F13" s="18">
        <f>สมมติฐาน!D35</f>
        <v>0</v>
      </c>
      <c r="G13" s="18">
        <f>สมมติฐาน!D35</f>
        <v>0</v>
      </c>
      <c r="H13" s="18">
        <f>สมมติฐาน!D35</f>
        <v>0</v>
      </c>
    </row>
    <row r="14" spans="2:8" x14ac:dyDescent="0.3">
      <c r="B14" s="8" t="s">
        <v>107</v>
      </c>
      <c r="D14" s="19">
        <f>D9+D12+D13</f>
        <v>105000</v>
      </c>
      <c r="E14" s="19">
        <f>E9+E12+E13</f>
        <v>126000</v>
      </c>
      <c r="F14" s="19">
        <f>F9+F12+F13</f>
        <v>147000</v>
      </c>
      <c r="G14" s="19">
        <f>G9+G12+G13</f>
        <v>168000</v>
      </c>
      <c r="H14" s="19">
        <f>H9+H12+H13</f>
        <v>189000</v>
      </c>
    </row>
    <row r="15" spans="2:8" x14ac:dyDescent="0.3">
      <c r="B15" s="9" t="s">
        <v>108</v>
      </c>
      <c r="D15" s="20">
        <f>D11+D12+D13</f>
        <v>88725</v>
      </c>
      <c r="E15" s="20">
        <f>E11+E12+E13</f>
        <v>106470</v>
      </c>
      <c r="F15" s="20">
        <f>F11+F12+F13</f>
        <v>124215</v>
      </c>
      <c r="G15" s="20">
        <f>G11+G12+G13</f>
        <v>141960</v>
      </c>
      <c r="H15" s="20">
        <f>H11+H12+H13</f>
        <v>159705</v>
      </c>
    </row>
    <row r="17" spans="2:8" x14ac:dyDescent="0.3">
      <c r="B17" s="43" t="s">
        <v>109</v>
      </c>
      <c r="C17" s="44"/>
      <c r="D17" s="44"/>
      <c r="E17" s="44"/>
      <c r="F17" s="44"/>
      <c r="G17" s="44"/>
      <c r="H17" s="44"/>
    </row>
    <row r="18" spans="2:8" x14ac:dyDescent="0.3">
      <c r="B18" s="3" t="s">
        <v>110</v>
      </c>
      <c r="D18" s="18">
        <f>-สมมติฐาน!D6</f>
        <v>-40000</v>
      </c>
      <c r="E18" s="18">
        <f>-สมมติฐาน!D6</f>
        <v>-40000</v>
      </c>
      <c r="F18" s="18">
        <f>-สมมติฐาน!D6</f>
        <v>-40000</v>
      </c>
      <c r="G18" s="18">
        <f>-สมมติฐาน!D6</f>
        <v>-40000</v>
      </c>
      <c r="H18" s="18">
        <f>-สมมติฐาน!D6</f>
        <v>-40000</v>
      </c>
    </row>
    <row r="19" spans="2:8" x14ac:dyDescent="0.3">
      <c r="B19" s="3" t="s">
        <v>47</v>
      </c>
      <c r="D19" s="18">
        <f>-สมมติฐาน!D49</f>
        <v>-12000</v>
      </c>
      <c r="E19" s="18">
        <f>-สมมติฐาน!D49</f>
        <v>-12000</v>
      </c>
      <c r="F19" s="18">
        <f>-สมมติฐาน!D49</f>
        <v>-12000</v>
      </c>
      <c r="G19" s="18">
        <f>-สมมติฐาน!D49</f>
        <v>-12000</v>
      </c>
      <c r="H19" s="18">
        <f>-สมมติฐาน!D49</f>
        <v>-12000</v>
      </c>
    </row>
    <row r="20" spans="2:8" x14ac:dyDescent="0.3">
      <c r="B20" s="3" t="s">
        <v>111</v>
      </c>
      <c r="D20" s="18">
        <f>-สมมติฐาน!D50</f>
        <v>-30000</v>
      </c>
      <c r="E20" s="18">
        <f>-สมมติฐาน!D50</f>
        <v>-30000</v>
      </c>
      <c r="F20" s="18">
        <f>-สมมติฐาน!D50</f>
        <v>-30000</v>
      </c>
      <c r="G20" s="18">
        <f>-สมมติฐาน!D50</f>
        <v>-30000</v>
      </c>
      <c r="H20" s="18">
        <f>-สมมติฐาน!D50</f>
        <v>-30000</v>
      </c>
    </row>
    <row r="21" spans="2:8" x14ac:dyDescent="0.3">
      <c r="B21" s="3" t="s">
        <v>112</v>
      </c>
      <c r="D21" s="18">
        <f>-สมมติฐาน!D51</f>
        <v>-20000</v>
      </c>
      <c r="E21" s="18">
        <f>-สมมติฐาน!D51</f>
        <v>-20000</v>
      </c>
      <c r="F21" s="18">
        <f>-สมมติฐาน!D51</f>
        <v>-20000</v>
      </c>
      <c r="G21" s="18">
        <f>-สมมติฐาน!D51</f>
        <v>-20000</v>
      </c>
      <c r="H21" s="18">
        <f>-สมมติฐาน!D51</f>
        <v>-20000</v>
      </c>
    </row>
    <row r="22" spans="2:8" x14ac:dyDescent="0.3">
      <c r="B22" s="3" t="s">
        <v>113</v>
      </c>
      <c r="D22" s="18">
        <f>-สมมติฐาน!D52</f>
        <v>-3000</v>
      </c>
      <c r="E22" s="18">
        <f>-สมมติฐาน!D52</f>
        <v>-3000</v>
      </c>
      <c r="F22" s="18">
        <f>-สมมติฐาน!D52</f>
        <v>-3000</v>
      </c>
      <c r="G22" s="18">
        <f>-สมมติฐาน!D52</f>
        <v>-3000</v>
      </c>
      <c r="H22" s="18">
        <f>-สมมติฐาน!D52</f>
        <v>-3000</v>
      </c>
    </row>
    <row r="23" spans="2:8" x14ac:dyDescent="0.3">
      <c r="B23" s="3" t="s">
        <v>114</v>
      </c>
      <c r="D23" s="18">
        <f>-สมมติฐาน!D53</f>
        <v>-800</v>
      </c>
      <c r="E23" s="18">
        <f>-สมมติฐาน!D53</f>
        <v>-800</v>
      </c>
      <c r="F23" s="18">
        <f>-สมมติฐาน!D53</f>
        <v>-800</v>
      </c>
      <c r="G23" s="18">
        <f>-สมมติฐาน!D53</f>
        <v>-800</v>
      </c>
      <c r="H23" s="18">
        <f>-สมมติฐาน!D53</f>
        <v>-800</v>
      </c>
    </row>
    <row r="24" spans="2:8" x14ac:dyDescent="0.3">
      <c r="B24" s="3" t="s">
        <v>52</v>
      </c>
      <c r="D24" s="18">
        <f>-สมมติฐาน!D54</f>
        <v>0</v>
      </c>
      <c r="E24" s="18">
        <f>-สมมติฐาน!D54</f>
        <v>0</v>
      </c>
      <c r="F24" s="18">
        <f>-สมมติฐาน!D54</f>
        <v>0</v>
      </c>
      <c r="G24" s="18">
        <f>-สมมติฐาน!D54</f>
        <v>0</v>
      </c>
      <c r="H24" s="18">
        <f>-สมมติฐาน!D54</f>
        <v>0</v>
      </c>
    </row>
    <row r="25" spans="2:8" x14ac:dyDescent="0.3">
      <c r="B25" s="3" t="s">
        <v>115</v>
      </c>
      <c r="D25" s="18">
        <f>-สมมติฐาน!D55</f>
        <v>-5000</v>
      </c>
      <c r="E25" s="18">
        <f>-สมมติฐาน!D55</f>
        <v>-5000</v>
      </c>
      <c r="F25" s="18">
        <f>-สมมติฐาน!D55</f>
        <v>-5000</v>
      </c>
      <c r="G25" s="18">
        <f>-สมมติฐาน!D55</f>
        <v>-5000</v>
      </c>
      <c r="H25" s="18">
        <f>-สมมติฐาน!D55</f>
        <v>-5000</v>
      </c>
    </row>
    <row r="26" spans="2:8" x14ac:dyDescent="0.3">
      <c r="B26" s="3" t="s">
        <v>54</v>
      </c>
      <c r="D26" s="18">
        <f>-สมมติฐาน!D56</f>
        <v>-2000</v>
      </c>
      <c r="E26" s="18">
        <f>-สมมติฐาน!D56</f>
        <v>-2000</v>
      </c>
      <c r="F26" s="18">
        <f>-สมมติฐาน!D56</f>
        <v>-2000</v>
      </c>
      <c r="G26" s="18">
        <f>-สมมติฐาน!D56</f>
        <v>-2000</v>
      </c>
      <c r="H26" s="18">
        <f>-สมมติฐาน!D56</f>
        <v>-2000</v>
      </c>
    </row>
    <row r="27" spans="2:8" x14ac:dyDescent="0.3">
      <c r="B27" s="9" t="s">
        <v>116</v>
      </c>
      <c r="D27" s="20">
        <f>SUM(D18:D26)</f>
        <v>-112800</v>
      </c>
      <c r="E27" s="20">
        <f>SUM(E18:E26)</f>
        <v>-112800</v>
      </c>
      <c r="F27" s="20">
        <f>SUM(F18:F26)</f>
        <v>-112800</v>
      </c>
      <c r="G27" s="20">
        <f>SUM(G18:G26)</f>
        <v>-112800</v>
      </c>
      <c r="H27" s="20">
        <f>SUM(H18:H26)</f>
        <v>-112800</v>
      </c>
    </row>
    <row r="29" spans="2:8" x14ac:dyDescent="0.3">
      <c r="B29" s="2" t="s">
        <v>117</v>
      </c>
      <c r="D29" s="21">
        <f>D15+D27</f>
        <v>-24075</v>
      </c>
      <c r="E29" s="21">
        <f>E15+E27</f>
        <v>-6330</v>
      </c>
      <c r="F29" s="21">
        <f>F15+F27</f>
        <v>11415</v>
      </c>
      <c r="G29" s="21">
        <f>G15+G27</f>
        <v>29160</v>
      </c>
      <c r="H29" s="21">
        <f>H15+H27</f>
        <v>46905</v>
      </c>
    </row>
    <row r="30" spans="2:8" x14ac:dyDescent="0.3">
      <c r="B30" s="3" t="s">
        <v>118</v>
      </c>
      <c r="D30" s="22">
        <f>IFERROR(D29/D14,0)</f>
        <v>-0.22928571428571429</v>
      </c>
      <c r="E30" s="22">
        <f>IFERROR(E29/E14,0)</f>
        <v>-5.0238095238095241E-2</v>
      </c>
      <c r="F30" s="22">
        <f>IFERROR(F29/F14,0)</f>
        <v>7.7653061224489797E-2</v>
      </c>
      <c r="G30" s="22">
        <f>IFERROR(G29/G14,0)</f>
        <v>0.17357142857142857</v>
      </c>
      <c r="H30" s="22">
        <f>IFERROR(H29/H14,0)</f>
        <v>0.24817460317460319</v>
      </c>
    </row>
    <row r="31" spans="2:8" x14ac:dyDescent="0.3">
      <c r="B31" s="9" t="s">
        <v>119</v>
      </c>
      <c r="D31" s="20">
        <f>D29*12</f>
        <v>-288900</v>
      </c>
      <c r="E31" s="20">
        <f>E29*12</f>
        <v>-75960</v>
      </c>
      <c r="F31" s="20">
        <f>F29*12</f>
        <v>136980</v>
      </c>
      <c r="G31" s="20">
        <f>G29*12</f>
        <v>349920</v>
      </c>
      <c r="H31" s="20">
        <f>H29*12</f>
        <v>562860</v>
      </c>
    </row>
    <row r="33" spans="2:8" x14ac:dyDescent="0.3">
      <c r="B33" s="43" t="s">
        <v>120</v>
      </c>
      <c r="C33" s="44"/>
      <c r="D33" s="44"/>
      <c r="E33" s="44"/>
      <c r="F33" s="44"/>
      <c r="G33" s="44"/>
      <c r="H33" s="44"/>
    </row>
    <row r="34" spans="2:8" x14ac:dyDescent="0.3">
      <c r="B34" s="8" t="s">
        <v>121</v>
      </c>
      <c r="D34" s="19">
        <f>(D9+D13)*12</f>
        <v>1260000</v>
      </c>
      <c r="E34" s="19">
        <f>(E9+E13)*12</f>
        <v>1512000</v>
      </c>
      <c r="F34" s="19">
        <f>(F9+F13)*12</f>
        <v>1764000</v>
      </c>
      <c r="G34" s="19">
        <f>(G9+G13)*12</f>
        <v>2016000</v>
      </c>
      <c r="H34" s="19">
        <f>(H9+H13)*12</f>
        <v>2268000</v>
      </c>
    </row>
    <row r="35" spans="2:8" x14ac:dyDescent="0.3">
      <c r="B35" s="8" t="s">
        <v>122</v>
      </c>
      <c r="D35" s="23" t="str">
        <f>IF(D34&gt;สมมติฐาน!D73,"ต้องจด VAT","ไม่ต้องจด VAT")</f>
        <v>ไม่ต้องจด VAT</v>
      </c>
      <c r="E35" s="23" t="str">
        <f>IF(E34&gt;สมมติฐาน!D73,"ต้องจด VAT","ไม่ต้องจด VAT")</f>
        <v>ไม่ต้องจด VAT</v>
      </c>
      <c r="F35" s="23" t="str">
        <f>IF(F34&gt;สมมติฐาน!D73,"ต้องจด VAT","ไม่ต้องจด VAT")</f>
        <v>ไม่ต้องจด VAT</v>
      </c>
      <c r="G35" s="23" t="str">
        <f>IF(G34&gt;สมมติฐาน!D73,"ต้องจด VAT","ไม่ต้องจด VAT")</f>
        <v>ต้องจด VAT</v>
      </c>
      <c r="H35" s="23" t="str">
        <f>IF(H34&gt;สมมติฐาน!D73,"ต้องจด VAT","ไม่ต้องจด VAT")</f>
        <v>ต้องจด VAT</v>
      </c>
    </row>
    <row r="36" spans="2:8" x14ac:dyDescent="0.3">
      <c r="B36" s="8" t="s">
        <v>123</v>
      </c>
      <c r="D36" s="19">
        <f>IF(D34&gt;สมมติฐาน!D73,D34*สมมติฐาน!D72/(1+สมมติฐาน!D72),0)</f>
        <v>0</v>
      </c>
      <c r="E36" s="19">
        <f>IF(E34&gt;สมมติฐาน!D73,E34*สมมติฐาน!D72/(1+สมมติฐาน!D72),0)</f>
        <v>0</v>
      </c>
      <c r="F36" s="19">
        <f>IF(F34&gt;สมมติฐาน!D73,F34*สมมติฐาน!D72/(1+สมมติฐาน!D72),0)</f>
        <v>0</v>
      </c>
      <c r="G36" s="19">
        <f>IF(G34&gt;สมมติฐาน!D73,G34*สมมติฐาน!D72/(1+สมมติฐาน!D72),0)</f>
        <v>131887.85046728971</v>
      </c>
      <c r="H36" s="19">
        <f>IF(H34&gt;สมมติฐาน!D73,H34*สมมติฐาน!D72/(1+สมมติฐาน!D72),0)</f>
        <v>148373.83177570096</v>
      </c>
    </row>
    <row r="37" spans="2:8" x14ac:dyDescent="0.3">
      <c r="B37" s="8" t="s">
        <v>124</v>
      </c>
      <c r="D37" s="19">
        <f>IF(D34&gt;สมมติฐาน!D73,-ABS(D10)*12*สมมติฐาน!D72,0)</f>
        <v>0</v>
      </c>
      <c r="E37" s="19">
        <f>IF(E34&gt;สมมติฐาน!D73,-ABS(E10)*12*สมมติฐาน!D72,0)</f>
        <v>0</v>
      </c>
      <c r="F37" s="19">
        <f>IF(F34&gt;สมมติฐาน!D73,-ABS(F10)*12*สมมติฐาน!D72,0)</f>
        <v>0</v>
      </c>
      <c r="G37" s="19">
        <f>IF(G34&gt;สมมติฐาน!D73,-ABS(G10)*12*สมมติฐาน!D72,0)</f>
        <v>-21873.600000000002</v>
      </c>
      <c r="H37" s="19">
        <f>IF(H34&gt;สมมติฐาน!D73,-ABS(H10)*12*สมมติฐาน!D72,0)</f>
        <v>-24607.800000000003</v>
      </c>
    </row>
    <row r="38" spans="2:8" x14ac:dyDescent="0.3">
      <c r="B38" s="3" t="s">
        <v>125</v>
      </c>
      <c r="D38" s="18">
        <f>-MAX(0,D36+D37)</f>
        <v>0</v>
      </c>
      <c r="E38" s="18">
        <f>-MAX(0,E36+E37)</f>
        <v>0</v>
      </c>
      <c r="F38" s="18">
        <f>-MAX(0,F36+F37)</f>
        <v>0</v>
      </c>
      <c r="G38" s="18">
        <f>-MAX(0,G36+G37)</f>
        <v>-110014.2504672897</v>
      </c>
      <c r="H38" s="18">
        <f>-MAX(0,H36+H37)</f>
        <v>-123766.03177570096</v>
      </c>
    </row>
    <row r="39" spans="2:8" x14ac:dyDescent="0.3">
      <c r="B39" s="3" t="s">
        <v>126</v>
      </c>
      <c r="D39" s="18">
        <f>-สมมติฐาน!D58</f>
        <v>0</v>
      </c>
      <c r="E39" s="18">
        <f>-สมมติฐาน!D58</f>
        <v>0</v>
      </c>
      <c r="F39" s="18">
        <f>-สมมติฐาน!D58</f>
        <v>0</v>
      </c>
      <c r="G39" s="18">
        <f>-สมมติฐาน!D58</f>
        <v>0</v>
      </c>
      <c r="H39" s="18">
        <f>-สมมติฐาน!D58</f>
        <v>0</v>
      </c>
    </row>
    <row r="40" spans="2:8" x14ac:dyDescent="0.3">
      <c r="B40" s="9" t="s">
        <v>127</v>
      </c>
      <c r="D40" s="20">
        <f>D31+D38+D39</f>
        <v>-288900</v>
      </c>
      <c r="E40" s="20">
        <f>E31+E38+E39</f>
        <v>-75960</v>
      </c>
      <c r="F40" s="20">
        <f>F31+F38+F39</f>
        <v>136980</v>
      </c>
      <c r="G40" s="20">
        <f>G31+G38+G39</f>
        <v>239905.7495327103</v>
      </c>
      <c r="H40" s="20">
        <f>H31+H38+H39</f>
        <v>439093.96822429902</v>
      </c>
    </row>
    <row r="41" spans="2:8" x14ac:dyDescent="0.3">
      <c r="B41" s="8" t="s">
        <v>128</v>
      </c>
      <c r="D41" s="19">
        <f>-สมมติฐาน!D23/สมมติฐาน!D71</f>
        <v>-350000</v>
      </c>
      <c r="E41" s="19">
        <f>-สมมติฐาน!D23/สมมติฐาน!D71</f>
        <v>-350000</v>
      </c>
      <c r="F41" s="19">
        <f>-สมมติฐาน!D23/สมมติฐาน!D71</f>
        <v>-350000</v>
      </c>
      <c r="G41" s="19">
        <f>-สมมติฐาน!D23/สมมติฐาน!D71</f>
        <v>-350000</v>
      </c>
      <c r="H41" s="19">
        <f>-สมมติฐาน!D23/สมมติฐาน!D71</f>
        <v>-350000</v>
      </c>
    </row>
    <row r="42" spans="2:8" x14ac:dyDescent="0.3">
      <c r="B42" s="9" t="s">
        <v>129</v>
      </c>
      <c r="D42" s="20">
        <f>D40+D41</f>
        <v>-638900</v>
      </c>
      <c r="E42" s="20">
        <f>E40+E41</f>
        <v>-425960</v>
      </c>
      <c r="F42" s="20">
        <f>F40+F41</f>
        <v>-213020</v>
      </c>
      <c r="G42" s="20">
        <f>G40+G41</f>
        <v>-110094.2504672897</v>
      </c>
      <c r="H42" s="20">
        <f>H40+H41</f>
        <v>89093.968224299024</v>
      </c>
    </row>
    <row r="43" spans="2:8" x14ac:dyDescent="0.3">
      <c r="B43" s="3" t="s">
        <v>130</v>
      </c>
      <c r="D43" s="18">
        <f>-(MAX(0,MIN(D42,สมมติฐาน!D67)-สมมติฐาน!D66)*สมมติฐาน!D68+MAX(0,D42-สมมติฐาน!D67)*สมมติฐาน!D69)</f>
        <v>0</v>
      </c>
      <c r="E43" s="18">
        <f>-(MAX(0,MIN(E42,สมมติฐาน!D67)-สมมติฐาน!D66)*สมมติฐาน!D68+MAX(0,E42-สมมติฐาน!D67)*สมมติฐาน!D69)</f>
        <v>0</v>
      </c>
      <c r="F43" s="18">
        <f>-(MAX(0,MIN(F42,สมมติฐาน!D67)-สมมติฐาน!D66)*สมมติฐาน!D68+MAX(0,F42-สมมติฐาน!D67)*สมมติฐาน!D69)</f>
        <v>0</v>
      </c>
      <c r="G43" s="18">
        <f>-(MAX(0,MIN(G42,สมมติฐาน!D67)-สมมติฐาน!D66)*สมมติฐาน!D68+MAX(0,G42-สมมติฐาน!D67)*สมมติฐาน!D69)</f>
        <v>0</v>
      </c>
      <c r="H43" s="18">
        <f>-(MAX(0,MIN(H42,สมมติฐาน!D67)-สมมติฐาน!D66)*สมมติฐาน!D68+MAX(0,H42-สมมติฐาน!D67)*สมมติฐาน!D69)</f>
        <v>0</v>
      </c>
    </row>
    <row r="44" spans="2:8" x14ac:dyDescent="0.3">
      <c r="B44" s="9" t="s">
        <v>131</v>
      </c>
      <c r="D44" s="20">
        <f>D40+D43</f>
        <v>-288900</v>
      </c>
      <c r="E44" s="20">
        <f>E40+E43</f>
        <v>-75960</v>
      </c>
      <c r="F44" s="20">
        <f>F40+F43</f>
        <v>136980</v>
      </c>
      <c r="G44" s="20">
        <f>G40+G43</f>
        <v>239905.7495327103</v>
      </c>
      <c r="H44" s="20">
        <f>H40+H43</f>
        <v>439093.96822429902</v>
      </c>
    </row>
    <row r="45" spans="2:8" x14ac:dyDescent="0.3">
      <c r="B45" s="9" t="s">
        <v>132</v>
      </c>
      <c r="D45" s="20">
        <f>D44/12</f>
        <v>-24075</v>
      </c>
      <c r="E45" s="20">
        <f>E44/12</f>
        <v>-6330</v>
      </c>
      <c r="F45" s="20">
        <f>F44/12</f>
        <v>11415</v>
      </c>
      <c r="G45" s="20">
        <f>G44/12</f>
        <v>19992.145794392523</v>
      </c>
      <c r="H45" s="20">
        <f>H44/12</f>
        <v>36591.164018691583</v>
      </c>
    </row>
    <row r="46" spans="2:8" x14ac:dyDescent="0.3">
      <c r="B46" s="24" t="s">
        <v>133</v>
      </c>
      <c r="D46" s="25">
        <f>D15-D45</f>
        <v>112800</v>
      </c>
      <c r="E46" s="25">
        <f>E15-E45</f>
        <v>112800</v>
      </c>
      <c r="F46" s="25">
        <f>F15-F45</f>
        <v>112800</v>
      </c>
      <c r="G46" s="25">
        <f>G15-G45</f>
        <v>121967.85420560748</v>
      </c>
      <c r="H46" s="25">
        <f>H15-H45</f>
        <v>123113.83598130842</v>
      </c>
    </row>
    <row r="48" spans="2:8" x14ac:dyDescent="0.3">
      <c r="B48" s="1" t="s">
        <v>134</v>
      </c>
    </row>
    <row r="49" spans="2:2" x14ac:dyDescent="0.3">
      <c r="B49" s="1" t="s">
        <v>135</v>
      </c>
    </row>
  </sheetData>
  <mergeCells count="3">
    <mergeCell ref="B1:H1"/>
    <mergeCell ref="B17:H17"/>
    <mergeCell ref="B33:H3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9"/>
  <sheetViews>
    <sheetView showGridLines="0" workbookViewId="0"/>
  </sheetViews>
  <sheetFormatPr defaultRowHeight="14.4" x14ac:dyDescent="0.3"/>
  <cols>
    <col min="1" max="1" width="3" customWidth="1"/>
    <col min="2" max="2" width="40" customWidth="1"/>
    <col min="3" max="3" width="2" customWidth="1"/>
    <col min="4" max="8" width="14" customWidth="1"/>
  </cols>
  <sheetData>
    <row r="1" spans="2:8" ht="22.05" customHeight="1" x14ac:dyDescent="0.3">
      <c r="B1" s="41" t="s">
        <v>136</v>
      </c>
      <c r="C1" s="42"/>
      <c r="D1" s="42"/>
      <c r="E1" s="42"/>
    </row>
    <row r="3" spans="2:8" x14ac:dyDescent="0.3">
      <c r="B3" s="43" t="s">
        <v>137</v>
      </c>
      <c r="C3" s="44"/>
      <c r="D3" s="44"/>
      <c r="E3" s="44"/>
    </row>
    <row r="4" spans="2:8" ht="30" customHeight="1" x14ac:dyDescent="0.3">
      <c r="B4" s="3"/>
      <c r="D4" s="26" t="str">
        <f>"ค่าเช่า "&amp;TEXT(สมมติฐาน!D6,"#,##0")&amp;" (ปัจจุบัน)"</f>
        <v>ค่าเช่า 40,000 (ปัจจุบัน)</v>
      </c>
      <c r="E4" s="26" t="str">
        <f>"ค่าเช่า "&amp;TEXT(สมมติฐาน!D7,"#,##0")&amp;" (ต่อรอง)"</f>
        <v>ค่าเช่า 35,000 (ต่อรอง)</v>
      </c>
    </row>
    <row r="5" spans="2:8" x14ac:dyDescent="0.3">
      <c r="B5" s="15" t="s">
        <v>138</v>
      </c>
      <c r="D5" s="27">
        <f>(สมมติฐาน!D57+สมมติฐาน!D6-(สมมติฐาน!D34+สมมติฐาน!D35))/((1-สมมติฐาน!D46)*(สมมติฐาน!D29+สมมติฐาน!D30+สมมติฐาน!D31+สมมติฐาน!D32)*สมมติฐาน!D33)</f>
        <v>0.63567202028740488</v>
      </c>
      <c r="E5" s="27">
        <f>(สมมติฐาน!D57+สมมติฐาน!D7-(สมมติฐาน!D34+สมมติฐาน!D35))/((1-สมมติฐาน!D46)*(สมมติฐาน!D29+สมมติฐาน!D30+สมมติฐาน!D31+สมมติฐาน!D32)*สมมติฐาน!D33)</f>
        <v>0.60749506903353057</v>
      </c>
    </row>
    <row r="7" spans="2:8" x14ac:dyDescent="0.3">
      <c r="B7" s="43" t="s">
        <v>139</v>
      </c>
      <c r="C7" s="44"/>
      <c r="D7" s="44"/>
      <c r="E7" s="44"/>
    </row>
    <row r="8" spans="2:8" x14ac:dyDescent="0.3">
      <c r="B8" s="3" t="s">
        <v>140</v>
      </c>
      <c r="D8" s="18">
        <f>สมมติฐาน!D26</f>
        <v>1200000</v>
      </c>
    </row>
    <row r="10" spans="2:8" x14ac:dyDescent="0.3">
      <c r="B10" s="43" t="s">
        <v>141</v>
      </c>
      <c r="C10" s="44"/>
      <c r="D10" s="44"/>
      <c r="E10" s="44"/>
      <c r="F10" s="44"/>
      <c r="G10" s="44"/>
      <c r="H10" s="44"/>
    </row>
    <row r="11" spans="2:8" ht="15.6" x14ac:dyDescent="0.3">
      <c r="B11" s="15" t="s">
        <v>142</v>
      </c>
      <c r="D11" s="28" t="s">
        <v>143</v>
      </c>
      <c r="E11" s="28" t="s">
        <v>144</v>
      </c>
      <c r="F11" s="28" t="s">
        <v>145</v>
      </c>
      <c r="G11" s="28" t="s">
        <v>146</v>
      </c>
      <c r="H11" s="28" t="s">
        <v>147</v>
      </c>
    </row>
    <row r="12" spans="2:8" x14ac:dyDescent="0.3">
      <c r="B12" s="3" t="s">
        <v>148</v>
      </c>
      <c r="D12" s="18">
        <f>'P&amp;L รายเดือน'!D45</f>
        <v>-24075</v>
      </c>
      <c r="E12" s="18">
        <f>'P&amp;L รายเดือน'!E45</f>
        <v>-6330</v>
      </c>
      <c r="F12" s="18">
        <f>'P&amp;L รายเดือน'!F45</f>
        <v>11415</v>
      </c>
      <c r="G12" s="18">
        <f>'P&amp;L รายเดือน'!G45</f>
        <v>19992.145794392523</v>
      </c>
      <c r="H12" s="18">
        <f>'P&amp;L รายเดือน'!H45</f>
        <v>36591.164018691583</v>
      </c>
    </row>
    <row r="13" spans="2:8" x14ac:dyDescent="0.3">
      <c r="B13" s="15" t="s">
        <v>149</v>
      </c>
      <c r="D13" s="29" t="str">
        <f>IF(D12&lt;=0,"ไม่คืนทุน (ขาดทุนต่อเดือน)",$D$8/D12)</f>
        <v>ไม่คืนทุน (ขาดทุนต่อเดือน)</v>
      </c>
      <c r="E13" s="29" t="str">
        <f>IF(E12&lt;=0,"ไม่คืนทุน (ขาดทุนต่อเดือน)",$D$8/E12)</f>
        <v>ไม่คืนทุน (ขาดทุนต่อเดือน)</v>
      </c>
      <c r="F13" s="29">
        <f>IF(F12&lt;=0,"ไม่คืนทุน (ขาดทุนต่อเดือน)",$D$8/F12)</f>
        <v>105.12483574244415</v>
      </c>
      <c r="G13" s="29">
        <f>IF(G12&lt;=0,"ไม่คืนทุน (ขาดทุนต่อเดือน)",$D$8/G12)</f>
        <v>60.023571873739577</v>
      </c>
      <c r="H13" s="29">
        <f>IF(H12&lt;=0,"ไม่คืนทุน (ขาดทุนต่อเดือน)",$D$8/H12)</f>
        <v>32.794802575480063</v>
      </c>
    </row>
    <row r="15" spans="2:8" x14ac:dyDescent="0.3">
      <c r="B15" s="43" t="s">
        <v>150</v>
      </c>
      <c r="C15" s="44"/>
      <c r="D15" s="44"/>
      <c r="E15" s="44"/>
      <c r="F15" s="44"/>
      <c r="G15" s="44"/>
      <c r="H15" s="44"/>
    </row>
    <row r="16" spans="2:8" x14ac:dyDescent="0.3">
      <c r="B16" s="15" t="s">
        <v>151</v>
      </c>
      <c r="D16" s="30">
        <f>D12*36-$D$8</f>
        <v>-2066700</v>
      </c>
      <c r="E16" s="30">
        <f>E12*36-$D$8</f>
        <v>-1427880</v>
      </c>
      <c r="F16" s="30">
        <f>F12*36-$D$8</f>
        <v>-789060</v>
      </c>
      <c r="G16" s="30">
        <f>G12*36-$D$8</f>
        <v>-480282.75140186911</v>
      </c>
      <c r="H16" s="30">
        <f>H12*36-$D$8</f>
        <v>117281.90467289696</v>
      </c>
    </row>
    <row r="18" spans="2:2" x14ac:dyDescent="0.3">
      <c r="B18" s="1" t="s">
        <v>152</v>
      </c>
    </row>
    <row r="19" spans="2:2" x14ac:dyDescent="0.3">
      <c r="B19" s="31" t="s">
        <v>153</v>
      </c>
    </row>
  </sheetData>
  <mergeCells count="5">
    <mergeCell ref="B1:E1"/>
    <mergeCell ref="B7:E7"/>
    <mergeCell ref="B15:H15"/>
    <mergeCell ref="B3:E3"/>
    <mergeCell ref="B10:H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58"/>
  <sheetViews>
    <sheetView showGridLines="0" workbookViewId="0"/>
  </sheetViews>
  <sheetFormatPr defaultRowHeight="14.4" x14ac:dyDescent="0.3"/>
  <cols>
    <col min="1" max="1" width="3" customWidth="1"/>
    <col min="2" max="2" width="34" customWidth="1"/>
    <col min="3" max="3" width="2" customWidth="1"/>
    <col min="4" max="8" width="14" customWidth="1"/>
  </cols>
  <sheetData>
    <row r="1" spans="2:8" ht="22.05" customHeight="1" x14ac:dyDescent="0.3">
      <c r="B1" s="41" t="s">
        <v>154</v>
      </c>
      <c r="C1" s="42"/>
      <c r="D1" s="42"/>
      <c r="E1" s="42"/>
      <c r="F1" s="42"/>
      <c r="G1" s="42"/>
      <c r="H1" s="42"/>
    </row>
    <row r="2" spans="2:8" x14ac:dyDescent="0.3">
      <c r="B2" s="1" t="s">
        <v>155</v>
      </c>
    </row>
    <row r="4" spans="2:8" x14ac:dyDescent="0.3">
      <c r="B4" s="43" t="s">
        <v>156</v>
      </c>
      <c r="C4" s="44"/>
      <c r="D4" s="44"/>
      <c r="E4" s="44"/>
      <c r="F4" s="44"/>
      <c r="G4" s="44"/>
      <c r="H4" s="44"/>
    </row>
    <row r="5" spans="2:8" ht="15.6" x14ac:dyDescent="0.3">
      <c r="B5" s="15" t="s">
        <v>157</v>
      </c>
      <c r="D5" s="28" t="s">
        <v>143</v>
      </c>
      <c r="E5" s="28" t="s">
        <v>144</v>
      </c>
      <c r="F5" s="28" t="s">
        <v>145</v>
      </c>
      <c r="G5" s="28" t="s">
        <v>146</v>
      </c>
      <c r="H5" s="28" t="s">
        <v>147</v>
      </c>
    </row>
    <row r="6" spans="2:8" x14ac:dyDescent="0.3">
      <c r="B6" s="3" t="s">
        <v>158</v>
      </c>
      <c r="D6" s="18">
        <f>-สมมติฐาน!D26</f>
        <v>-1200000</v>
      </c>
      <c r="E6" s="18">
        <f>-สมมติฐาน!D26</f>
        <v>-1200000</v>
      </c>
      <c r="F6" s="18">
        <f>-สมมติฐาน!D26</f>
        <v>-1200000</v>
      </c>
      <c r="G6" s="18">
        <f>-สมมติฐาน!D26</f>
        <v>-1200000</v>
      </c>
      <c r="H6" s="18">
        <f>-สมมติฐาน!D26</f>
        <v>-1200000</v>
      </c>
    </row>
    <row r="7" spans="2:8" x14ac:dyDescent="0.3">
      <c r="B7" s="3" t="s">
        <v>159</v>
      </c>
      <c r="D7" s="18">
        <f>'P&amp;L รายเดือน'!D45*12</f>
        <v>-288900</v>
      </c>
      <c r="E7" s="18">
        <f>'P&amp;L รายเดือน'!E45*12</f>
        <v>-75960</v>
      </c>
      <c r="F7" s="18">
        <f>'P&amp;L รายเดือน'!F45*12</f>
        <v>136980</v>
      </c>
      <c r="G7" s="18">
        <f>'P&amp;L รายเดือน'!G45*12</f>
        <v>239905.7495327103</v>
      </c>
      <c r="H7" s="18">
        <f>'P&amp;L รายเดือน'!H45*12</f>
        <v>439093.96822429902</v>
      </c>
    </row>
    <row r="8" spans="2:8" x14ac:dyDescent="0.3">
      <c r="B8" s="3" t="s">
        <v>160</v>
      </c>
      <c r="D8" s="18">
        <f>'P&amp;L รายเดือน'!D45*12</f>
        <v>-288900</v>
      </c>
      <c r="E8" s="18">
        <f>'P&amp;L รายเดือน'!E45*12</f>
        <v>-75960</v>
      </c>
      <c r="F8" s="18">
        <f>'P&amp;L รายเดือน'!F45*12</f>
        <v>136980</v>
      </c>
      <c r="G8" s="18">
        <f>'P&amp;L รายเดือน'!G45*12</f>
        <v>239905.7495327103</v>
      </c>
      <c r="H8" s="18">
        <f>'P&amp;L รายเดือน'!H45*12</f>
        <v>439093.96822429902</v>
      </c>
    </row>
    <row r="9" spans="2:8" x14ac:dyDescent="0.3">
      <c r="B9" s="3" t="s">
        <v>161</v>
      </c>
      <c r="D9" s="18">
        <f>'P&amp;L รายเดือน'!D45*12</f>
        <v>-288900</v>
      </c>
      <c r="E9" s="18">
        <f>'P&amp;L รายเดือน'!E45*12</f>
        <v>-75960</v>
      </c>
      <c r="F9" s="18">
        <f>'P&amp;L รายเดือน'!F45*12</f>
        <v>136980</v>
      </c>
      <c r="G9" s="18">
        <f>'P&amp;L รายเดือน'!G45*12</f>
        <v>239905.7495327103</v>
      </c>
      <c r="H9" s="18">
        <f>'P&amp;L รายเดือน'!H45*12</f>
        <v>439093.96822429902</v>
      </c>
    </row>
    <row r="11" spans="2:8" ht="15.6" x14ac:dyDescent="0.3">
      <c r="B11" s="15" t="s">
        <v>162</v>
      </c>
      <c r="D11" s="28" t="s">
        <v>143</v>
      </c>
      <c r="E11" s="28" t="s">
        <v>144</v>
      </c>
      <c r="F11" s="28" t="s">
        <v>145</v>
      </c>
      <c r="G11" s="28" t="s">
        <v>146</v>
      </c>
      <c r="H11" s="28" t="s">
        <v>147</v>
      </c>
    </row>
    <row r="12" spans="2:8" x14ac:dyDescent="0.3">
      <c r="B12" s="3" t="s">
        <v>163</v>
      </c>
      <c r="D12" s="18">
        <f>D6</f>
        <v>-1200000</v>
      </c>
      <c r="E12" s="18">
        <f>E6</f>
        <v>-1200000</v>
      </c>
      <c r="F12" s="18">
        <f>F6</f>
        <v>-1200000</v>
      </c>
      <c r="G12" s="18">
        <f>G6</f>
        <v>-1200000</v>
      </c>
      <c r="H12" s="18">
        <f>H6</f>
        <v>-1200000</v>
      </c>
    </row>
    <row r="13" spans="2:8" x14ac:dyDescent="0.3">
      <c r="B13" s="3" t="s">
        <v>164</v>
      </c>
      <c r="D13" s="18">
        <f t="shared" ref="D13:H15" si="0">D12+D7</f>
        <v>-1488900</v>
      </c>
      <c r="E13" s="18">
        <f t="shared" si="0"/>
        <v>-1275960</v>
      </c>
      <c r="F13" s="18">
        <f t="shared" si="0"/>
        <v>-1063020</v>
      </c>
      <c r="G13" s="18">
        <f t="shared" si="0"/>
        <v>-960094.2504672897</v>
      </c>
      <c r="H13" s="18">
        <f t="shared" si="0"/>
        <v>-760906.03177570098</v>
      </c>
    </row>
    <row r="14" spans="2:8" x14ac:dyDescent="0.3">
      <c r="B14" s="3" t="s">
        <v>165</v>
      </c>
      <c r="D14" s="18">
        <f t="shared" si="0"/>
        <v>-1777800</v>
      </c>
      <c r="E14" s="18">
        <f t="shared" si="0"/>
        <v>-1351920</v>
      </c>
      <c r="F14" s="18">
        <f t="shared" si="0"/>
        <v>-926040</v>
      </c>
      <c r="G14" s="18">
        <f t="shared" si="0"/>
        <v>-720188.50093457941</v>
      </c>
      <c r="H14" s="18">
        <f t="shared" si="0"/>
        <v>-321812.06355140195</v>
      </c>
    </row>
    <row r="15" spans="2:8" x14ac:dyDescent="0.3">
      <c r="B15" s="9" t="s">
        <v>166</v>
      </c>
      <c r="D15" s="20">
        <f t="shared" si="0"/>
        <v>-2066700</v>
      </c>
      <c r="E15" s="20">
        <f t="shared" si="0"/>
        <v>-1427880</v>
      </c>
      <c r="F15" s="20">
        <f t="shared" si="0"/>
        <v>-789060</v>
      </c>
      <c r="G15" s="20">
        <f t="shared" si="0"/>
        <v>-480282.75140186911</v>
      </c>
      <c r="H15" s="20">
        <f t="shared" si="0"/>
        <v>117281.90467289707</v>
      </c>
    </row>
    <row r="18" spans="2:8" x14ac:dyDescent="0.3">
      <c r="B18" s="43" t="s">
        <v>167</v>
      </c>
      <c r="C18" s="44"/>
      <c r="D18" s="44"/>
      <c r="E18" s="44"/>
      <c r="F18" s="44"/>
      <c r="G18" s="44"/>
      <c r="H18" s="44"/>
    </row>
    <row r="19" spans="2:8" ht="28.05" customHeight="1" x14ac:dyDescent="0.3">
      <c r="B19" s="15" t="s">
        <v>168</v>
      </c>
      <c r="D19" s="26" t="s">
        <v>169</v>
      </c>
      <c r="E19" s="26" t="s">
        <v>170</v>
      </c>
      <c r="F19" s="26" t="s">
        <v>171</v>
      </c>
      <c r="G19" s="26" t="s">
        <v>172</v>
      </c>
      <c r="H19" s="26" t="s">
        <v>173</v>
      </c>
    </row>
    <row r="20" spans="2:8" x14ac:dyDescent="0.3">
      <c r="B20" s="32">
        <v>0</v>
      </c>
      <c r="D20" s="18">
        <f>-สมมติฐาน!D26</f>
        <v>-1200000</v>
      </c>
      <c r="E20" s="18">
        <f>-สมมติฐาน!D26</f>
        <v>-1200000</v>
      </c>
      <c r="F20" s="18">
        <f>-สมมติฐาน!D26</f>
        <v>-1200000</v>
      </c>
      <c r="G20" s="18">
        <f>-สมมติฐาน!D26</f>
        <v>-1200000</v>
      </c>
      <c r="H20" s="18">
        <f>-สมมติฐาน!D26</f>
        <v>-1200000</v>
      </c>
    </row>
    <row r="21" spans="2:8" x14ac:dyDescent="0.3">
      <c r="B21" s="33">
        <v>1</v>
      </c>
      <c r="D21" s="18">
        <f>D20+'P&amp;L รายเดือน'!D45</f>
        <v>-1224075</v>
      </c>
      <c r="E21" s="18">
        <f>E20+'P&amp;L รายเดือน'!E45</f>
        <v>-1206330</v>
      </c>
      <c r="F21" s="18">
        <f>F20+'P&amp;L รายเดือน'!F45</f>
        <v>-1188585</v>
      </c>
      <c r="G21" s="18">
        <f>G20+'P&amp;L รายเดือน'!G45</f>
        <v>-1180007.8542056074</v>
      </c>
      <c r="H21" s="18">
        <f>H20+'P&amp;L รายเดือน'!H45</f>
        <v>-1163408.8359813085</v>
      </c>
    </row>
    <row r="22" spans="2:8" x14ac:dyDescent="0.3">
      <c r="B22" s="33">
        <v>2</v>
      </c>
      <c r="D22" s="18">
        <f>D21+'P&amp;L รายเดือน'!D45</f>
        <v>-1248150</v>
      </c>
      <c r="E22" s="18">
        <f>E21+'P&amp;L รายเดือน'!E45</f>
        <v>-1212660</v>
      </c>
      <c r="F22" s="18">
        <f>F21+'P&amp;L รายเดือน'!F45</f>
        <v>-1177170</v>
      </c>
      <c r="G22" s="18">
        <f>G21+'P&amp;L รายเดือน'!G45</f>
        <v>-1160015.7084112149</v>
      </c>
      <c r="H22" s="18">
        <f>H21+'P&amp;L รายเดือน'!H45</f>
        <v>-1126817.671962617</v>
      </c>
    </row>
    <row r="23" spans="2:8" x14ac:dyDescent="0.3">
      <c r="B23" s="33">
        <v>3</v>
      </c>
      <c r="D23" s="18">
        <f>D22+'P&amp;L รายเดือน'!D45</f>
        <v>-1272225</v>
      </c>
      <c r="E23" s="18">
        <f>E22+'P&amp;L รายเดือน'!E45</f>
        <v>-1218990</v>
      </c>
      <c r="F23" s="18">
        <f>F22+'P&amp;L รายเดือน'!F45</f>
        <v>-1165755</v>
      </c>
      <c r="G23" s="18">
        <f>G22+'P&amp;L รายเดือน'!G45</f>
        <v>-1140023.5626168223</v>
      </c>
      <c r="H23" s="18">
        <f>H22+'P&amp;L รายเดือน'!H45</f>
        <v>-1090226.5079439254</v>
      </c>
    </row>
    <row r="24" spans="2:8" x14ac:dyDescent="0.3">
      <c r="B24" s="33">
        <v>4</v>
      </c>
      <c r="D24" s="18">
        <f>D23+'P&amp;L รายเดือน'!D45</f>
        <v>-1296300</v>
      </c>
      <c r="E24" s="18">
        <f>E23+'P&amp;L รายเดือน'!E45</f>
        <v>-1225320</v>
      </c>
      <c r="F24" s="18">
        <f>F23+'P&amp;L รายเดือน'!F45</f>
        <v>-1154340</v>
      </c>
      <c r="G24" s="18">
        <f>G23+'P&amp;L รายเดือน'!G45</f>
        <v>-1120031.4168224297</v>
      </c>
      <c r="H24" s="18">
        <f>H23+'P&amp;L รายเดือน'!H45</f>
        <v>-1053635.3439252339</v>
      </c>
    </row>
    <row r="25" spans="2:8" x14ac:dyDescent="0.3">
      <c r="B25" s="33">
        <v>5</v>
      </c>
      <c r="D25" s="18">
        <f>D24+'P&amp;L รายเดือน'!D45</f>
        <v>-1320375</v>
      </c>
      <c r="E25" s="18">
        <f>E24+'P&amp;L รายเดือน'!E45</f>
        <v>-1231650</v>
      </c>
      <c r="F25" s="18">
        <f>F24+'P&amp;L รายเดือน'!F45</f>
        <v>-1142925</v>
      </c>
      <c r="G25" s="18">
        <f>G24+'P&amp;L รายเดือน'!G45</f>
        <v>-1100039.2710280372</v>
      </c>
      <c r="H25" s="18">
        <f>H24+'P&amp;L รายเดือน'!H45</f>
        <v>-1017044.1799065423</v>
      </c>
    </row>
    <row r="26" spans="2:8" x14ac:dyDescent="0.3">
      <c r="B26" s="33">
        <v>6</v>
      </c>
      <c r="D26" s="18">
        <f>D25+'P&amp;L รายเดือน'!D45</f>
        <v>-1344450</v>
      </c>
      <c r="E26" s="18">
        <f>E25+'P&amp;L รายเดือน'!E45</f>
        <v>-1237980</v>
      </c>
      <c r="F26" s="18">
        <f>F25+'P&amp;L รายเดือน'!F45</f>
        <v>-1131510</v>
      </c>
      <c r="G26" s="18">
        <f>G25+'P&amp;L รายเดือน'!G45</f>
        <v>-1080047.1252336446</v>
      </c>
      <c r="H26" s="18">
        <f>H25+'P&amp;L รายเดือน'!H45</f>
        <v>-980453.01588785066</v>
      </c>
    </row>
    <row r="27" spans="2:8" x14ac:dyDescent="0.3">
      <c r="B27" s="33">
        <v>7</v>
      </c>
      <c r="D27" s="18">
        <f>D26+'P&amp;L รายเดือน'!D45</f>
        <v>-1368525</v>
      </c>
      <c r="E27" s="18">
        <f>E26+'P&amp;L รายเดือน'!E45</f>
        <v>-1244310</v>
      </c>
      <c r="F27" s="18">
        <f>F26+'P&amp;L รายเดือน'!F45</f>
        <v>-1120095</v>
      </c>
      <c r="G27" s="18">
        <f>G26+'P&amp;L รายเดือน'!G45</f>
        <v>-1060054.9794392521</v>
      </c>
      <c r="H27" s="18">
        <f>H26+'P&amp;L รายเดือน'!H45</f>
        <v>-943861.85186915903</v>
      </c>
    </row>
    <row r="28" spans="2:8" x14ac:dyDescent="0.3">
      <c r="B28" s="33">
        <v>8</v>
      </c>
      <c r="D28" s="18">
        <f>D27+'P&amp;L รายเดือน'!D45</f>
        <v>-1392600</v>
      </c>
      <c r="E28" s="18">
        <f>E27+'P&amp;L รายเดือน'!E45</f>
        <v>-1250640</v>
      </c>
      <c r="F28" s="18">
        <f>F27+'P&amp;L รายเดือน'!F45</f>
        <v>-1108680</v>
      </c>
      <c r="G28" s="18">
        <f>G27+'P&amp;L รายเดือน'!G45</f>
        <v>-1040062.8336448595</v>
      </c>
      <c r="H28" s="18">
        <f>H27+'P&amp;L รายเดือน'!H45</f>
        <v>-907270.6878504674</v>
      </c>
    </row>
    <row r="29" spans="2:8" x14ac:dyDescent="0.3">
      <c r="B29" s="33">
        <v>9</v>
      </c>
      <c r="D29" s="18">
        <f>D28+'P&amp;L รายเดือน'!D45</f>
        <v>-1416675</v>
      </c>
      <c r="E29" s="18">
        <f>E28+'P&amp;L รายเดือน'!E45</f>
        <v>-1256970</v>
      </c>
      <c r="F29" s="18">
        <f>F28+'P&amp;L รายเดือน'!F45</f>
        <v>-1097265</v>
      </c>
      <c r="G29" s="18">
        <f>G28+'P&amp;L รายเดือน'!G45</f>
        <v>-1020070.6878504669</v>
      </c>
      <c r="H29" s="18">
        <f>H28+'P&amp;L รายเดือน'!H45</f>
        <v>-870679.52383177576</v>
      </c>
    </row>
    <row r="30" spans="2:8" x14ac:dyDescent="0.3">
      <c r="B30" s="33">
        <v>10</v>
      </c>
      <c r="D30" s="18">
        <f>D29+'P&amp;L รายเดือน'!D45</f>
        <v>-1440750</v>
      </c>
      <c r="E30" s="18">
        <f>E29+'P&amp;L รายเดือน'!E45</f>
        <v>-1263300</v>
      </c>
      <c r="F30" s="18">
        <f>F29+'P&amp;L รายเดือน'!F45</f>
        <v>-1085850</v>
      </c>
      <c r="G30" s="18">
        <f>G29+'P&amp;L รายเดือน'!G45</f>
        <v>-1000078.5420560744</v>
      </c>
      <c r="H30" s="18">
        <f>H29+'P&amp;L รายเดือน'!H45</f>
        <v>-834088.35981308413</v>
      </c>
    </row>
    <row r="31" spans="2:8" x14ac:dyDescent="0.3">
      <c r="B31" s="33">
        <v>11</v>
      </c>
      <c r="D31" s="18">
        <f>D30+'P&amp;L รายเดือน'!D45</f>
        <v>-1464825</v>
      </c>
      <c r="E31" s="18">
        <f>E30+'P&amp;L รายเดือน'!E45</f>
        <v>-1269630</v>
      </c>
      <c r="F31" s="18">
        <f>F30+'P&amp;L รายเดือน'!F45</f>
        <v>-1074435</v>
      </c>
      <c r="G31" s="18">
        <f>G30+'P&amp;L รายเดือน'!G45</f>
        <v>-980086.3962616818</v>
      </c>
      <c r="H31" s="18">
        <f>H30+'P&amp;L รายเดือน'!H45</f>
        <v>-797497.19579439249</v>
      </c>
    </row>
    <row r="32" spans="2:8" x14ac:dyDescent="0.3">
      <c r="B32" s="34">
        <v>12</v>
      </c>
      <c r="D32" s="30">
        <f>D31+'P&amp;L รายเดือน'!D45</f>
        <v>-1488900</v>
      </c>
      <c r="E32" s="30">
        <f>E31+'P&amp;L รายเดือน'!E45</f>
        <v>-1275960</v>
      </c>
      <c r="F32" s="30">
        <f>F31+'P&amp;L รายเดือน'!F45</f>
        <v>-1063020</v>
      </c>
      <c r="G32" s="30">
        <f>G31+'P&amp;L รายเดือน'!G45</f>
        <v>-960094.25046728924</v>
      </c>
      <c r="H32" s="30">
        <f>H31+'P&amp;L รายเดือน'!H45</f>
        <v>-760906.03177570086</v>
      </c>
    </row>
    <row r="33" spans="2:8" x14ac:dyDescent="0.3">
      <c r="B33" s="33">
        <v>13</v>
      </c>
      <c r="D33" s="18">
        <f>D32+'P&amp;L รายเดือน'!D45</f>
        <v>-1512975</v>
      </c>
      <c r="E33" s="18">
        <f>E32+'P&amp;L รายเดือน'!E45</f>
        <v>-1282290</v>
      </c>
      <c r="F33" s="18">
        <f>F32+'P&amp;L รายเดือน'!F45</f>
        <v>-1051605</v>
      </c>
      <c r="G33" s="18">
        <f>G32+'P&amp;L รายเดือน'!G45</f>
        <v>-940102.10467289668</v>
      </c>
      <c r="H33" s="18">
        <f>H32+'P&amp;L รายเดือน'!H45</f>
        <v>-724314.86775700923</v>
      </c>
    </row>
    <row r="34" spans="2:8" x14ac:dyDescent="0.3">
      <c r="B34" s="33">
        <v>14</v>
      </c>
      <c r="D34" s="18">
        <f>D33+'P&amp;L รายเดือน'!D45</f>
        <v>-1537050</v>
      </c>
      <c r="E34" s="18">
        <f>E33+'P&amp;L รายเดือน'!E45</f>
        <v>-1288620</v>
      </c>
      <c r="F34" s="18">
        <f>F33+'P&amp;L รายเดือน'!F45</f>
        <v>-1040190</v>
      </c>
      <c r="G34" s="18">
        <f>G33+'P&amp;L รายเดือน'!G45</f>
        <v>-920109.95887850411</v>
      </c>
      <c r="H34" s="18">
        <f>H33+'P&amp;L รายเดือน'!H45</f>
        <v>-687723.70373831759</v>
      </c>
    </row>
    <row r="35" spans="2:8" x14ac:dyDescent="0.3">
      <c r="B35" s="33">
        <v>15</v>
      </c>
      <c r="D35" s="18">
        <f>D34+'P&amp;L รายเดือน'!D45</f>
        <v>-1561125</v>
      </c>
      <c r="E35" s="18">
        <f>E34+'P&amp;L รายเดือน'!E45</f>
        <v>-1294950</v>
      </c>
      <c r="F35" s="18">
        <f>F34+'P&amp;L รายเดือน'!F45</f>
        <v>-1028775</v>
      </c>
      <c r="G35" s="18">
        <f>G34+'P&amp;L รายเดือน'!G45</f>
        <v>-900117.81308411155</v>
      </c>
      <c r="H35" s="18">
        <f>H34+'P&amp;L รายเดือน'!H45</f>
        <v>-651132.53971962596</v>
      </c>
    </row>
    <row r="36" spans="2:8" x14ac:dyDescent="0.3">
      <c r="B36" s="33">
        <v>16</v>
      </c>
      <c r="D36" s="18">
        <f>D35+'P&amp;L รายเดือน'!D45</f>
        <v>-1585200</v>
      </c>
      <c r="E36" s="18">
        <f>E35+'P&amp;L รายเดือน'!E45</f>
        <v>-1301280</v>
      </c>
      <c r="F36" s="18">
        <f>F35+'P&amp;L รายเดือน'!F45</f>
        <v>-1017360</v>
      </c>
      <c r="G36" s="18">
        <f>G35+'P&amp;L รายเดือน'!G45</f>
        <v>-880125.66728971899</v>
      </c>
      <c r="H36" s="18">
        <f>H35+'P&amp;L รายเดือน'!H45</f>
        <v>-614541.37570093432</v>
      </c>
    </row>
    <row r="37" spans="2:8" x14ac:dyDescent="0.3">
      <c r="B37" s="33">
        <v>17</v>
      </c>
      <c r="D37" s="18">
        <f>D36+'P&amp;L รายเดือน'!D45</f>
        <v>-1609275</v>
      </c>
      <c r="E37" s="18">
        <f>E36+'P&amp;L รายเดือน'!E45</f>
        <v>-1307610</v>
      </c>
      <c r="F37" s="18">
        <f>F36+'P&amp;L รายเดือน'!F45</f>
        <v>-1005945</v>
      </c>
      <c r="G37" s="18">
        <f>G36+'P&amp;L รายเดือน'!G45</f>
        <v>-860133.52149532642</v>
      </c>
      <c r="H37" s="18">
        <f>H36+'P&amp;L รายเดือน'!H45</f>
        <v>-577950.21168224269</v>
      </c>
    </row>
    <row r="38" spans="2:8" x14ac:dyDescent="0.3">
      <c r="B38" s="33">
        <v>18</v>
      </c>
      <c r="D38" s="18">
        <f>D37+'P&amp;L รายเดือน'!D45</f>
        <v>-1633350</v>
      </c>
      <c r="E38" s="18">
        <f>E37+'P&amp;L รายเดือน'!E45</f>
        <v>-1313940</v>
      </c>
      <c r="F38" s="18">
        <f>F37+'P&amp;L รายเดือน'!F45</f>
        <v>-994530</v>
      </c>
      <c r="G38" s="18">
        <f>G37+'P&amp;L รายเดือน'!G45</f>
        <v>-840141.37570093386</v>
      </c>
      <c r="H38" s="18">
        <f>H37+'P&amp;L รายเดือน'!H45</f>
        <v>-541359.04766355106</v>
      </c>
    </row>
    <row r="39" spans="2:8" x14ac:dyDescent="0.3">
      <c r="B39" s="33">
        <v>19</v>
      </c>
      <c r="D39" s="18">
        <f>D38+'P&amp;L รายเดือน'!D45</f>
        <v>-1657425</v>
      </c>
      <c r="E39" s="18">
        <f>E38+'P&amp;L รายเดือน'!E45</f>
        <v>-1320270</v>
      </c>
      <c r="F39" s="18">
        <f>F38+'P&amp;L รายเดือน'!F45</f>
        <v>-983115</v>
      </c>
      <c r="G39" s="18">
        <f>G38+'P&amp;L รายเดือน'!G45</f>
        <v>-820149.2299065413</v>
      </c>
      <c r="H39" s="18">
        <f>H38+'P&amp;L รายเดือน'!H45</f>
        <v>-504767.88364485948</v>
      </c>
    </row>
    <row r="40" spans="2:8" x14ac:dyDescent="0.3">
      <c r="B40" s="33">
        <v>20</v>
      </c>
      <c r="D40" s="18">
        <f>D39+'P&amp;L รายเดือน'!D45</f>
        <v>-1681500</v>
      </c>
      <c r="E40" s="18">
        <f>E39+'P&amp;L รายเดือน'!E45</f>
        <v>-1326600</v>
      </c>
      <c r="F40" s="18">
        <f>F39+'P&amp;L รายเดือน'!F45</f>
        <v>-971700</v>
      </c>
      <c r="G40" s="18">
        <f>G39+'P&amp;L รายเดือน'!G45</f>
        <v>-800157.08411214873</v>
      </c>
      <c r="H40" s="18">
        <f>H39+'P&amp;L รายเดือน'!H45</f>
        <v>-468176.71962616791</v>
      </c>
    </row>
    <row r="41" spans="2:8" x14ac:dyDescent="0.3">
      <c r="B41" s="33">
        <v>21</v>
      </c>
      <c r="D41" s="18">
        <f>D40+'P&amp;L รายเดือน'!D45</f>
        <v>-1705575</v>
      </c>
      <c r="E41" s="18">
        <f>E40+'P&amp;L รายเดือน'!E45</f>
        <v>-1332930</v>
      </c>
      <c r="F41" s="18">
        <f>F40+'P&amp;L รายเดือน'!F45</f>
        <v>-960285</v>
      </c>
      <c r="G41" s="18">
        <f>G40+'P&amp;L รายเดือน'!G45</f>
        <v>-780164.93831775617</v>
      </c>
      <c r="H41" s="18">
        <f>H40+'P&amp;L รายเดือน'!H45</f>
        <v>-431585.55560747633</v>
      </c>
    </row>
    <row r="42" spans="2:8" x14ac:dyDescent="0.3">
      <c r="B42" s="33">
        <v>22</v>
      </c>
      <c r="D42" s="18">
        <f>D41+'P&amp;L รายเดือน'!D45</f>
        <v>-1729650</v>
      </c>
      <c r="E42" s="18">
        <f>E41+'P&amp;L รายเดือน'!E45</f>
        <v>-1339260</v>
      </c>
      <c r="F42" s="18">
        <f>F41+'P&amp;L รายเดือน'!F45</f>
        <v>-948870</v>
      </c>
      <c r="G42" s="18">
        <f>G41+'P&amp;L รายเดือน'!G45</f>
        <v>-760172.79252336361</v>
      </c>
      <c r="H42" s="18">
        <f>H41+'P&amp;L รายเดือน'!H45</f>
        <v>-394994.39158878475</v>
      </c>
    </row>
    <row r="43" spans="2:8" x14ac:dyDescent="0.3">
      <c r="B43" s="33">
        <v>23</v>
      </c>
      <c r="D43" s="18">
        <f>D42+'P&amp;L รายเดือน'!D45</f>
        <v>-1753725</v>
      </c>
      <c r="E43" s="18">
        <f>E42+'P&amp;L รายเดือน'!E45</f>
        <v>-1345590</v>
      </c>
      <c r="F43" s="18">
        <f>F42+'P&amp;L รายเดือน'!F45</f>
        <v>-937455</v>
      </c>
      <c r="G43" s="18">
        <f>G42+'P&amp;L รายเดือน'!G45</f>
        <v>-740180.64672897104</v>
      </c>
      <c r="H43" s="18">
        <f>H42+'P&amp;L รายเดือน'!H45</f>
        <v>-358403.22757009318</v>
      </c>
    </row>
    <row r="44" spans="2:8" x14ac:dyDescent="0.3">
      <c r="B44" s="34">
        <v>24</v>
      </c>
      <c r="D44" s="30">
        <f>D43+'P&amp;L รายเดือน'!D45</f>
        <v>-1777800</v>
      </c>
      <c r="E44" s="30">
        <f>E43+'P&amp;L รายเดือน'!E45</f>
        <v>-1351920</v>
      </c>
      <c r="F44" s="30">
        <f>F43+'P&amp;L รายเดือน'!F45</f>
        <v>-926040</v>
      </c>
      <c r="G44" s="30">
        <f>G43+'P&amp;L รายเดือน'!G45</f>
        <v>-720188.50093457848</v>
      </c>
      <c r="H44" s="30">
        <f>H43+'P&amp;L รายเดือน'!H45</f>
        <v>-321812.0635514016</v>
      </c>
    </row>
    <row r="45" spans="2:8" x14ac:dyDescent="0.3">
      <c r="B45" s="33">
        <v>25</v>
      </c>
      <c r="D45" s="18">
        <f>D44+'P&amp;L รายเดือน'!D45</f>
        <v>-1801875</v>
      </c>
      <c r="E45" s="18">
        <f>E44+'P&amp;L รายเดือน'!E45</f>
        <v>-1358250</v>
      </c>
      <c r="F45" s="18">
        <f>F44+'P&amp;L รายเดือน'!F45</f>
        <v>-914625</v>
      </c>
      <c r="G45" s="18">
        <f>G44+'P&amp;L รายเดือน'!G45</f>
        <v>-700196.35514018591</v>
      </c>
      <c r="H45" s="18">
        <f>H44+'P&amp;L รายเดือน'!H45</f>
        <v>-285220.89953271003</v>
      </c>
    </row>
    <row r="46" spans="2:8" x14ac:dyDescent="0.3">
      <c r="B46" s="33">
        <v>26</v>
      </c>
      <c r="D46" s="18">
        <f>D45+'P&amp;L รายเดือน'!D45</f>
        <v>-1825950</v>
      </c>
      <c r="E46" s="18">
        <f>E45+'P&amp;L รายเดือน'!E45</f>
        <v>-1364580</v>
      </c>
      <c r="F46" s="18">
        <f>F45+'P&amp;L รายเดือน'!F45</f>
        <v>-903210</v>
      </c>
      <c r="G46" s="18">
        <f>G45+'P&amp;L รายเดือน'!G45</f>
        <v>-680204.20934579335</v>
      </c>
      <c r="H46" s="18">
        <f>H45+'P&amp;L รายเดือน'!H45</f>
        <v>-248629.73551401845</v>
      </c>
    </row>
    <row r="47" spans="2:8" x14ac:dyDescent="0.3">
      <c r="B47" s="33">
        <v>27</v>
      </c>
      <c r="D47" s="18">
        <f>D46+'P&amp;L รายเดือน'!D45</f>
        <v>-1850025</v>
      </c>
      <c r="E47" s="18">
        <f>E46+'P&amp;L รายเดือน'!E45</f>
        <v>-1370910</v>
      </c>
      <c r="F47" s="18">
        <f>F46+'P&amp;L รายเดือน'!F45</f>
        <v>-891795</v>
      </c>
      <c r="G47" s="18">
        <f>G46+'P&amp;L รายเดือน'!G45</f>
        <v>-660212.06355140079</v>
      </c>
      <c r="H47" s="18">
        <f>H46+'P&amp;L รายเดือน'!H45</f>
        <v>-212038.57149532688</v>
      </c>
    </row>
    <row r="48" spans="2:8" x14ac:dyDescent="0.3">
      <c r="B48" s="33">
        <v>28</v>
      </c>
      <c r="D48" s="18">
        <f>D47+'P&amp;L รายเดือน'!D45</f>
        <v>-1874100</v>
      </c>
      <c r="E48" s="18">
        <f>E47+'P&amp;L รายเดือน'!E45</f>
        <v>-1377240</v>
      </c>
      <c r="F48" s="18">
        <f>F47+'P&amp;L รายเดือน'!F45</f>
        <v>-880380</v>
      </c>
      <c r="G48" s="18">
        <f>G47+'P&amp;L รายเดือน'!G45</f>
        <v>-640219.91775700822</v>
      </c>
      <c r="H48" s="18">
        <f>H47+'P&amp;L รายเดือน'!H45</f>
        <v>-175447.4074766353</v>
      </c>
    </row>
    <row r="49" spans="2:8" x14ac:dyDescent="0.3">
      <c r="B49" s="33">
        <v>29</v>
      </c>
      <c r="D49" s="18">
        <f>D48+'P&amp;L รายเดือน'!D45</f>
        <v>-1898175</v>
      </c>
      <c r="E49" s="18">
        <f>E48+'P&amp;L รายเดือน'!E45</f>
        <v>-1383570</v>
      </c>
      <c r="F49" s="18">
        <f>F48+'P&amp;L รายเดือน'!F45</f>
        <v>-868965</v>
      </c>
      <c r="G49" s="18">
        <f>G48+'P&amp;L รายเดือน'!G45</f>
        <v>-620227.77196261566</v>
      </c>
      <c r="H49" s="18">
        <f>H48+'P&amp;L รายเดือน'!H45</f>
        <v>-138856.24345794372</v>
      </c>
    </row>
    <row r="50" spans="2:8" x14ac:dyDescent="0.3">
      <c r="B50" s="33">
        <v>30</v>
      </c>
      <c r="D50" s="18">
        <f>D49+'P&amp;L รายเดือน'!D45</f>
        <v>-1922250</v>
      </c>
      <c r="E50" s="18">
        <f>E49+'P&amp;L รายเดือน'!E45</f>
        <v>-1389900</v>
      </c>
      <c r="F50" s="18">
        <f>F49+'P&amp;L รายเดือน'!F45</f>
        <v>-857550</v>
      </c>
      <c r="G50" s="18">
        <f>G49+'P&amp;L รายเดือน'!G45</f>
        <v>-600235.6261682231</v>
      </c>
      <c r="H50" s="18">
        <f>H49+'P&amp;L รายเดือน'!H45</f>
        <v>-102265.07943925215</v>
      </c>
    </row>
    <row r="51" spans="2:8" x14ac:dyDescent="0.3">
      <c r="B51" s="33">
        <v>31</v>
      </c>
      <c r="D51" s="18">
        <f>D50+'P&amp;L รายเดือน'!D45</f>
        <v>-1946325</v>
      </c>
      <c r="E51" s="18">
        <f>E50+'P&amp;L รายเดือน'!E45</f>
        <v>-1396230</v>
      </c>
      <c r="F51" s="18">
        <f>F50+'P&amp;L รายเดือน'!F45</f>
        <v>-846135</v>
      </c>
      <c r="G51" s="18">
        <f>G50+'P&amp;L รายเดือน'!G45</f>
        <v>-580243.48037383053</v>
      </c>
      <c r="H51" s="18">
        <f>H50+'P&amp;L รายเดือน'!H45</f>
        <v>-65673.915420560574</v>
      </c>
    </row>
    <row r="52" spans="2:8" x14ac:dyDescent="0.3">
      <c r="B52" s="33">
        <v>32</v>
      </c>
      <c r="D52" s="18">
        <f>D51+'P&amp;L รายเดือน'!D45</f>
        <v>-1970400</v>
      </c>
      <c r="E52" s="18">
        <f>E51+'P&amp;L รายเดือน'!E45</f>
        <v>-1402560</v>
      </c>
      <c r="F52" s="18">
        <f>F51+'P&amp;L รายเดือน'!F45</f>
        <v>-834720</v>
      </c>
      <c r="G52" s="18">
        <f>G51+'P&amp;L รายเดือน'!G45</f>
        <v>-560251.33457943797</v>
      </c>
      <c r="H52" s="18">
        <f>H51+'P&amp;L รายเดือน'!H45</f>
        <v>-29082.751401868991</v>
      </c>
    </row>
    <row r="53" spans="2:8" x14ac:dyDescent="0.3">
      <c r="B53" s="33">
        <v>33</v>
      </c>
      <c r="D53" s="18">
        <f>D52+'P&amp;L รายเดือน'!D45</f>
        <v>-1994475</v>
      </c>
      <c r="E53" s="18">
        <f>E52+'P&amp;L รายเดือน'!E45</f>
        <v>-1408890</v>
      </c>
      <c r="F53" s="18">
        <f>F52+'P&amp;L รายเดือน'!F45</f>
        <v>-823305</v>
      </c>
      <c r="G53" s="18">
        <f>G52+'P&amp;L รายเดือน'!G45</f>
        <v>-540259.18878504541</v>
      </c>
      <c r="H53" s="18">
        <f>H52+'P&amp;L รายเดือน'!H45</f>
        <v>7508.4126168225921</v>
      </c>
    </row>
    <row r="54" spans="2:8" x14ac:dyDescent="0.3">
      <c r="B54" s="33">
        <v>34</v>
      </c>
      <c r="D54" s="18">
        <f>D53+'P&amp;L รายเดือน'!D45</f>
        <v>-2018550</v>
      </c>
      <c r="E54" s="18">
        <f>E53+'P&amp;L รายเดือน'!E45</f>
        <v>-1415220</v>
      </c>
      <c r="F54" s="18">
        <f>F53+'P&amp;L รายเดือน'!F45</f>
        <v>-811890</v>
      </c>
      <c r="G54" s="18">
        <f>G53+'P&amp;L รายเดือน'!G45</f>
        <v>-520267.0429906529</v>
      </c>
      <c r="H54" s="18">
        <f>H53+'P&amp;L รายเดือน'!H45</f>
        <v>44099.576635514175</v>
      </c>
    </row>
    <row r="55" spans="2:8" x14ac:dyDescent="0.3">
      <c r="B55" s="33">
        <v>35</v>
      </c>
      <c r="D55" s="18">
        <f>D54+'P&amp;L รายเดือน'!D45</f>
        <v>-2042625</v>
      </c>
      <c r="E55" s="18">
        <f>E54+'P&amp;L รายเดือน'!E45</f>
        <v>-1421550</v>
      </c>
      <c r="F55" s="18">
        <f>F54+'P&amp;L รายเดือน'!F45</f>
        <v>-800475</v>
      </c>
      <c r="G55" s="18">
        <f>G54+'P&amp;L รายเดือน'!G45</f>
        <v>-500274.8971962604</v>
      </c>
      <c r="H55" s="18">
        <f>H54+'P&amp;L รายเดือน'!H45</f>
        <v>80690.740654205758</v>
      </c>
    </row>
    <row r="56" spans="2:8" x14ac:dyDescent="0.3">
      <c r="B56" s="34">
        <v>36</v>
      </c>
      <c r="D56" s="30">
        <f>D55+'P&amp;L รายเดือน'!D45</f>
        <v>-2066700</v>
      </c>
      <c r="E56" s="30">
        <f>E55+'P&amp;L รายเดือน'!E45</f>
        <v>-1427880</v>
      </c>
      <c r="F56" s="30">
        <f>F55+'P&amp;L รายเดือน'!F45</f>
        <v>-789060</v>
      </c>
      <c r="G56" s="30">
        <f>G55+'P&amp;L รายเดือน'!G45</f>
        <v>-480282.75140186789</v>
      </c>
      <c r="H56" s="30">
        <f>H55+'P&amp;L รายเดือน'!H45</f>
        <v>117281.90467289733</v>
      </c>
    </row>
    <row r="58" spans="2:8" x14ac:dyDescent="0.3">
      <c r="B58" s="1" t="s">
        <v>174</v>
      </c>
    </row>
  </sheetData>
  <mergeCells count="3">
    <mergeCell ref="B1:H1"/>
    <mergeCell ref="B4:H4"/>
    <mergeCell ref="B18:H18"/>
  </mergeCells>
  <pageMargins left="0.75" right="0.75" top="1" bottom="1" header="0.5" footer="0.5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45"/>
  <sheetViews>
    <sheetView showGridLines="0" workbookViewId="0"/>
  </sheetViews>
  <sheetFormatPr defaultRowHeight="14.4" x14ac:dyDescent="0.3"/>
  <cols>
    <col min="1" max="1" width="3" customWidth="1"/>
    <col min="2" max="2" width="40" customWidth="1"/>
    <col min="3" max="3" width="2" customWidth="1"/>
    <col min="4" max="8" width="14" customWidth="1"/>
  </cols>
  <sheetData>
    <row r="1" spans="2:8" ht="22.05" customHeight="1" x14ac:dyDescent="0.3">
      <c r="B1" s="41" t="s">
        <v>175</v>
      </c>
      <c r="C1" s="42"/>
      <c r="D1" s="42"/>
      <c r="E1" s="42"/>
      <c r="F1" s="42"/>
      <c r="G1" s="42"/>
      <c r="H1" s="42"/>
    </row>
    <row r="2" spans="2:8" x14ac:dyDescent="0.3">
      <c r="B2" s="1" t="s">
        <v>176</v>
      </c>
    </row>
    <row r="3" spans="2:8" ht="60" customHeight="1" x14ac:dyDescent="0.3">
      <c r="B3" s="31" t="s">
        <v>177</v>
      </c>
    </row>
    <row r="4" spans="2:8" x14ac:dyDescent="0.3">
      <c r="B4" s="43" t="s">
        <v>178</v>
      </c>
      <c r="C4" s="44"/>
      <c r="D4" s="44"/>
      <c r="E4" s="44"/>
      <c r="F4" s="44"/>
      <c r="G4" s="44"/>
      <c r="H4" s="44"/>
    </row>
    <row r="5" spans="2:8" x14ac:dyDescent="0.3">
      <c r="B5" s="3" t="s">
        <v>179</v>
      </c>
      <c r="D5" s="22">
        <f>สมมติฐาน!D61</f>
        <v>0.5</v>
      </c>
    </row>
    <row r="6" spans="2:8" x14ac:dyDescent="0.3">
      <c r="B6" s="3" t="s">
        <v>180</v>
      </c>
      <c r="D6" s="22">
        <f>สมมติฐาน!D62</f>
        <v>0.5</v>
      </c>
    </row>
    <row r="7" spans="2:8" x14ac:dyDescent="0.3">
      <c r="B7" s="3" t="s">
        <v>181</v>
      </c>
      <c r="D7" s="35">
        <f>สมมติฐาน!D63</f>
        <v>0</v>
      </c>
    </row>
    <row r="9" spans="2:8" x14ac:dyDescent="0.3">
      <c r="B9" s="43" t="s">
        <v>182</v>
      </c>
      <c r="C9" s="44"/>
      <c r="D9" s="44"/>
      <c r="E9" s="44"/>
      <c r="F9" s="44"/>
      <c r="G9" s="44"/>
      <c r="H9" s="44"/>
    </row>
    <row r="10" spans="2:8" ht="15.6" x14ac:dyDescent="0.3">
      <c r="B10" s="15" t="s">
        <v>157</v>
      </c>
      <c r="D10" s="28" t="s">
        <v>143</v>
      </c>
      <c r="E10" s="28" t="s">
        <v>144</v>
      </c>
      <c r="F10" s="28" t="s">
        <v>145</v>
      </c>
      <c r="G10" s="28" t="s">
        <v>146</v>
      </c>
      <c r="H10" s="28" t="s">
        <v>147</v>
      </c>
    </row>
    <row r="11" spans="2:8" x14ac:dyDescent="0.3">
      <c r="B11" s="3" t="s">
        <v>183</v>
      </c>
      <c r="D11" s="18">
        <f>'P&amp;L รายเดือน'!D45</f>
        <v>-24075</v>
      </c>
      <c r="E11" s="18">
        <f>'P&amp;L รายเดือน'!E45</f>
        <v>-6330</v>
      </c>
      <c r="F11" s="18">
        <f>'P&amp;L รายเดือน'!F45</f>
        <v>11415</v>
      </c>
      <c r="G11" s="18">
        <f>'P&amp;L รายเดือน'!G45</f>
        <v>19992.145794392523</v>
      </c>
      <c r="H11" s="18">
        <f>'P&amp;L รายเดือน'!H45</f>
        <v>36591.164018691583</v>
      </c>
    </row>
    <row r="12" spans="2:8" x14ac:dyDescent="0.3">
      <c r="B12" s="3" t="s">
        <v>184</v>
      </c>
      <c r="D12" s="18">
        <f>D11*สมมติฐาน!D61</f>
        <v>-12037.5</v>
      </c>
      <c r="E12" s="18">
        <f>E11*สมมติฐาน!D61</f>
        <v>-3165</v>
      </c>
      <c r="F12" s="18">
        <f>F11*สมมติฐาน!D61</f>
        <v>5707.5</v>
      </c>
      <c r="G12" s="18">
        <f>G11*สมมติฐาน!D61</f>
        <v>9996.0728971962617</v>
      </c>
      <c r="H12" s="18">
        <f>H11*สมมติฐาน!D61</f>
        <v>18295.582009345791</v>
      </c>
    </row>
    <row r="13" spans="2:8" x14ac:dyDescent="0.3">
      <c r="B13" s="3" t="s">
        <v>185</v>
      </c>
      <c r="D13" s="18">
        <f>-MAX(0,D12)*สมมติฐาน!D70</f>
        <v>0</v>
      </c>
      <c r="E13" s="18">
        <f>-MAX(0,E12)*สมมติฐาน!D70</f>
        <v>0</v>
      </c>
      <c r="F13" s="18">
        <f>-MAX(0,F12)*สมมติฐาน!D70</f>
        <v>-570.75</v>
      </c>
      <c r="G13" s="18">
        <f>-MAX(0,G12)*สมมติฐาน!D70</f>
        <v>-999.60728971962624</v>
      </c>
      <c r="H13" s="18">
        <f>-MAX(0,H12)*สมมติฐาน!D70</f>
        <v>-1829.5582009345792</v>
      </c>
    </row>
    <row r="14" spans="2:8" x14ac:dyDescent="0.3">
      <c r="B14" s="9" t="s">
        <v>186</v>
      </c>
      <c r="D14" s="20">
        <f>D12+D13</f>
        <v>-12037.5</v>
      </c>
      <c r="E14" s="20">
        <f>E12+E13</f>
        <v>-3165</v>
      </c>
      <c r="F14" s="20">
        <f>F12+F13</f>
        <v>5136.75</v>
      </c>
      <c r="G14" s="20">
        <f>G12+G13</f>
        <v>8996.4656074766353</v>
      </c>
      <c r="H14" s="20">
        <f>H12+H13</f>
        <v>16466.023808411213</v>
      </c>
    </row>
    <row r="16" spans="2:8" x14ac:dyDescent="0.3">
      <c r="B16" s="3" t="s">
        <v>187</v>
      </c>
      <c r="D16" s="18">
        <f>D11*สมมติฐาน!D62</f>
        <v>-12037.5</v>
      </c>
      <c r="E16" s="18">
        <f>E11*สมมติฐาน!D62</f>
        <v>-3165</v>
      </c>
      <c r="F16" s="18">
        <f>F11*สมมติฐาน!D62</f>
        <v>5707.5</v>
      </c>
      <c r="G16" s="18">
        <f>G11*สมมติฐาน!D62</f>
        <v>9996.0728971962617</v>
      </c>
      <c r="H16" s="18">
        <f>H11*สมมติฐาน!D62</f>
        <v>18295.582009345791</v>
      </c>
    </row>
    <row r="17" spans="2:8" x14ac:dyDescent="0.3">
      <c r="B17" s="3" t="s">
        <v>188</v>
      </c>
      <c r="D17" s="18">
        <f>-MAX(0,D16)*สมมติฐาน!D70</f>
        <v>0</v>
      </c>
      <c r="E17" s="18">
        <f>-MAX(0,E16)*สมมติฐาน!D70</f>
        <v>0</v>
      </c>
      <c r="F17" s="18">
        <f>-MAX(0,F16)*สมมติฐาน!D70</f>
        <v>-570.75</v>
      </c>
      <c r="G17" s="18">
        <f>-MAX(0,G16)*สมมติฐาน!D70</f>
        <v>-999.60728971962624</v>
      </c>
      <c r="H17" s="18">
        <f>-MAX(0,H16)*สมมติฐาน!D70</f>
        <v>-1829.5582009345792</v>
      </c>
    </row>
    <row r="18" spans="2:8" x14ac:dyDescent="0.3">
      <c r="B18" s="3" t="s">
        <v>189</v>
      </c>
      <c r="D18" s="18">
        <f>สมมติฐาน!D51*สมมติฐาน!D63</f>
        <v>0</v>
      </c>
      <c r="E18" s="18">
        <f>สมมติฐาน!D51*สมมติฐาน!D63</f>
        <v>0</v>
      </c>
      <c r="F18" s="18">
        <f>สมมติฐาน!D51*สมมติฐาน!D63</f>
        <v>0</v>
      </c>
      <c r="G18" s="18">
        <f>สมมติฐาน!D51*สมมติฐาน!D63</f>
        <v>0</v>
      </c>
      <c r="H18" s="18">
        <f>สมมติฐาน!D51*สมมติฐาน!D63</f>
        <v>0</v>
      </c>
    </row>
    <row r="19" spans="2:8" x14ac:dyDescent="0.3">
      <c r="B19" s="9" t="s">
        <v>190</v>
      </c>
      <c r="D19" s="20">
        <f>D16+D17+D18</f>
        <v>-12037.5</v>
      </c>
      <c r="E19" s="20">
        <f>E16+E17+E18</f>
        <v>-3165</v>
      </c>
      <c r="F19" s="20">
        <f>F16+F17+F18</f>
        <v>5136.75</v>
      </c>
      <c r="G19" s="20">
        <f>G16+G17+G18</f>
        <v>8996.4656074766353</v>
      </c>
      <c r="H19" s="20">
        <f>H16+H17+H18</f>
        <v>16466.023808411213</v>
      </c>
    </row>
    <row r="20" spans="2:8" ht="25.95" customHeight="1" x14ac:dyDescent="0.3">
      <c r="B20" s="1" t="s">
        <v>191</v>
      </c>
    </row>
    <row r="22" spans="2:8" x14ac:dyDescent="0.3">
      <c r="B22" s="43" t="s">
        <v>192</v>
      </c>
      <c r="C22" s="44"/>
      <c r="D22" s="44"/>
      <c r="E22" s="44"/>
      <c r="F22" s="44"/>
      <c r="G22" s="44"/>
      <c r="H22" s="44"/>
    </row>
    <row r="23" spans="2:8" x14ac:dyDescent="0.3">
      <c r="B23" s="8" t="s">
        <v>193</v>
      </c>
      <c r="D23" s="19">
        <f>D14+D19</f>
        <v>-24075</v>
      </c>
      <c r="E23" s="19">
        <f>E14+E19</f>
        <v>-6330</v>
      </c>
      <c r="F23" s="19">
        <f>F14+F19</f>
        <v>10273.5</v>
      </c>
      <c r="G23" s="19">
        <f>G14+G19</f>
        <v>17992.931214953271</v>
      </c>
      <c r="H23" s="19">
        <f>H14+H19</f>
        <v>32932.047616822427</v>
      </c>
    </row>
    <row r="25" spans="2:8" x14ac:dyDescent="0.3">
      <c r="B25" s="3" t="s">
        <v>194</v>
      </c>
      <c r="D25" s="18">
        <f>D14*12</f>
        <v>-144450</v>
      </c>
      <c r="E25" s="18">
        <f>E14*12</f>
        <v>-37980</v>
      </c>
      <c r="F25" s="18">
        <f>F14*12</f>
        <v>61641</v>
      </c>
      <c r="G25" s="18">
        <f>G14*12</f>
        <v>107957.58728971962</v>
      </c>
      <c r="H25" s="18">
        <f>H14*12</f>
        <v>197592.28570093456</v>
      </c>
    </row>
    <row r="26" spans="2:8" x14ac:dyDescent="0.3">
      <c r="B26" s="3" t="s">
        <v>195</v>
      </c>
      <c r="D26" s="18">
        <f>D19*12</f>
        <v>-144450</v>
      </c>
      <c r="E26" s="18">
        <f>E19*12</f>
        <v>-37980</v>
      </c>
      <c r="F26" s="18">
        <f>F19*12</f>
        <v>61641</v>
      </c>
      <c r="G26" s="18">
        <f>G19*12</f>
        <v>107957.58728971962</v>
      </c>
      <c r="H26" s="18">
        <f>H19*12</f>
        <v>197592.28570093456</v>
      </c>
    </row>
    <row r="28" spans="2:8" x14ac:dyDescent="0.3">
      <c r="B28" s="43" t="s">
        <v>196</v>
      </c>
      <c r="C28" s="44"/>
      <c r="D28" s="44"/>
      <c r="E28" s="44"/>
      <c r="F28" s="44"/>
      <c r="G28" s="44"/>
      <c r="H28" s="44"/>
    </row>
    <row r="29" spans="2:8" x14ac:dyDescent="0.3">
      <c r="B29" s="3" t="s">
        <v>197</v>
      </c>
      <c r="D29" s="18">
        <f>สมมติฐาน!D26</f>
        <v>1200000</v>
      </c>
    </row>
    <row r="30" spans="2:8" x14ac:dyDescent="0.3">
      <c r="B30" s="24" t="s">
        <v>198</v>
      </c>
      <c r="D30" s="36" t="str">
        <f>IF(D14&lt;=0,"ไม่คืนทุน (ส่วนแบ่งติดลบ)",$D$29/D14)</f>
        <v>ไม่คืนทุน (ส่วนแบ่งติดลบ)</v>
      </c>
      <c r="E30" s="36" t="str">
        <f>IF(E14&lt;=0,"ไม่คืนทุน (ส่วนแบ่งติดลบ)",$D$29/E14)</f>
        <v>ไม่คืนทุน (ส่วนแบ่งติดลบ)</v>
      </c>
      <c r="F30" s="36">
        <f>IF(F14&lt;=0,"ไม่คืนทุน (ส่วนแบ่งติดลบ)",$D$29/F14)</f>
        <v>233.61074609432035</v>
      </c>
      <c r="G30" s="36">
        <f>IF(G14&lt;=0,"ไม่คืนทุน (ส่วนแบ่งติดลบ)",$D$29/G14)</f>
        <v>133.38571527497683</v>
      </c>
      <c r="H30" s="36">
        <f>IF(H14&lt;=0,"ไม่คืนทุน (ส่วนแบ่งติดลบ)",$D$29/H14)</f>
        <v>72.877339056622347</v>
      </c>
    </row>
    <row r="32" spans="2:8" x14ac:dyDescent="0.3">
      <c r="B32" s="31" t="s">
        <v>199</v>
      </c>
    </row>
    <row r="34" spans="2:8" x14ac:dyDescent="0.3">
      <c r="B34" s="43" t="s">
        <v>200</v>
      </c>
      <c r="C34" s="44"/>
      <c r="D34" s="44"/>
      <c r="E34" s="44"/>
      <c r="F34" s="44"/>
      <c r="G34" s="44"/>
      <c r="H34" s="44"/>
    </row>
    <row r="35" spans="2:8" ht="28.05" customHeight="1" x14ac:dyDescent="0.3">
      <c r="B35" s="8" t="s">
        <v>201</v>
      </c>
    </row>
    <row r="36" spans="2:8" ht="15.6" x14ac:dyDescent="0.3">
      <c r="B36" s="15" t="s">
        <v>157</v>
      </c>
      <c r="D36" s="28" t="s">
        <v>143</v>
      </c>
      <c r="E36" s="28" t="s">
        <v>144</v>
      </c>
      <c r="F36" s="28" t="s">
        <v>145</v>
      </c>
      <c r="G36" s="28" t="s">
        <v>146</v>
      </c>
      <c r="H36" s="28" t="s">
        <v>147</v>
      </c>
    </row>
    <row r="37" spans="2:8" x14ac:dyDescent="0.3">
      <c r="B37" s="3" t="s">
        <v>202</v>
      </c>
      <c r="D37" s="18">
        <f>D12*12</f>
        <v>-144450</v>
      </c>
      <c r="E37" s="18">
        <f>E12*12</f>
        <v>-37980</v>
      </c>
      <c r="F37" s="18">
        <f>F12*12</f>
        <v>68490</v>
      </c>
      <c r="G37" s="18">
        <f>G12*12</f>
        <v>119952.87476635515</v>
      </c>
      <c r="H37" s="18">
        <f>H12*12</f>
        <v>219546.98411214951</v>
      </c>
    </row>
    <row r="38" spans="2:8" x14ac:dyDescent="0.3">
      <c r="B38" s="3" t="s">
        <v>203</v>
      </c>
      <c r="D38" s="18">
        <f>-(MIN(D37*สมมติฐาน!D77,สมมติฐาน!D78)+สมมติฐาน!D79)</f>
        <v>12225</v>
      </c>
      <c r="E38" s="18">
        <f>-(MIN(E37*สมมติฐาน!D77,สมมติฐาน!D78)+สมมติฐาน!D79)</f>
        <v>-41010</v>
      </c>
      <c r="F38" s="18">
        <f>-(MIN(F37*สมมติฐาน!D77,สมมติฐาน!D78)+สมมติฐาน!D79)</f>
        <v>-94245</v>
      </c>
      <c r="G38" s="18">
        <f>-(MIN(G37*สมมติฐาน!D77,สมมติฐาน!D78)+สมมติฐาน!D79)</f>
        <v>-119976.43738317757</v>
      </c>
      <c r="H38" s="18">
        <f>-(MIN(H37*สมมติฐาน!D77,สมมติฐาน!D78)+สมมติฐาน!D79)</f>
        <v>-160000</v>
      </c>
    </row>
    <row r="39" spans="2:8" x14ac:dyDescent="0.3">
      <c r="B39" s="3" t="s">
        <v>204</v>
      </c>
      <c r="D39" s="18">
        <f>MAX(0,D37+D38)</f>
        <v>0</v>
      </c>
      <c r="E39" s="18">
        <f>MAX(0,E37+E38)</f>
        <v>0</v>
      </c>
      <c r="F39" s="18">
        <f>MAX(0,F37+F38)</f>
        <v>0</v>
      </c>
      <c r="G39" s="18">
        <f>MAX(0,G37+G38)</f>
        <v>0</v>
      </c>
      <c r="H39" s="18">
        <f>MAX(0,H37+H38)</f>
        <v>59546.984112149512</v>
      </c>
    </row>
    <row r="40" spans="2:8" x14ac:dyDescent="0.3">
      <c r="B40" s="3" t="s">
        <v>205</v>
      </c>
      <c r="D40" s="18">
        <f>-(MAX(0,MIN(D39,สมมติฐาน!D80)-0)*สมมติฐาน!D81+MAX(0,MIN(D39,สมมติฐาน!D82)-สมมติฐาน!D80)*สมมติฐาน!D83+MAX(0,MIN(D39,สมมติฐาน!D84)-สมมติฐาน!D82)*สมมติฐาน!D85+MAX(0,MIN(D39,สมมติฐาน!D86)-สมมติฐาน!D84)*สมมติฐาน!D87+MAX(0,MIN(D39,สมมติฐาน!D88)-สมมติฐาน!D86)*สมมติฐาน!D89+MAX(0,MIN(D39,สมมติฐาน!D90)-สมมติฐาน!D88)*สมมติฐาน!D91+MAX(0,MIN(D39,สมมติฐาน!D92)-สมมติฐาน!D90)*สมมติฐาน!D93+MAX(0,D39-สมมติฐาน!D92)*สมมติฐาน!D94)</f>
        <v>0</v>
      </c>
      <c r="E40" s="18">
        <f>-(MAX(0,MIN(E39,สมมติฐาน!D80)-0)*สมมติฐาน!D81+MAX(0,MIN(E39,สมมติฐาน!D82)-สมมติฐาน!D80)*สมมติฐาน!D83+MAX(0,MIN(E39,สมมติฐาน!D84)-สมมติฐาน!D82)*สมมติฐาน!D85+MAX(0,MIN(E39,สมมติฐาน!D86)-สมมติฐาน!D84)*สมมติฐาน!D87+MAX(0,MIN(E39,สมมติฐาน!D88)-สมมติฐาน!D86)*สมมติฐาน!D89+MAX(0,MIN(E39,สมมติฐาน!D90)-สมมติฐาน!D88)*สมมติฐาน!D91+MAX(0,MIN(E39,สมมติฐาน!D92)-สมมติฐาน!D90)*สมมติฐาน!D93+MAX(0,E39-สมมติฐาน!D92)*สมมติฐาน!D94)</f>
        <v>0</v>
      </c>
      <c r="F40" s="18">
        <f>-(MAX(0,MIN(F39,สมมติฐาน!D80)-0)*สมมติฐาน!D81+MAX(0,MIN(F39,สมมติฐาน!D82)-สมมติฐาน!D80)*สมมติฐาน!D83+MAX(0,MIN(F39,สมมติฐาน!D84)-สมมติฐาน!D82)*สมมติฐาน!D85+MAX(0,MIN(F39,สมมติฐาน!D86)-สมมติฐาน!D84)*สมมติฐาน!D87+MAX(0,MIN(F39,สมมติฐาน!D88)-สมมติฐาน!D86)*สมมติฐาน!D89+MAX(0,MIN(F39,สมมติฐาน!D90)-สมมติฐาน!D88)*สมมติฐาน!D91+MAX(0,MIN(F39,สมมติฐาน!D92)-สมมติฐาน!D90)*สมมติฐาน!D93+MAX(0,F39-สมมติฐาน!D92)*สมมติฐาน!D94)</f>
        <v>0</v>
      </c>
      <c r="G40" s="18">
        <f>-(MAX(0,MIN(G39,สมมติฐาน!D80)-0)*สมมติฐาน!D81+MAX(0,MIN(G39,สมมติฐาน!D82)-สมมติฐาน!D80)*สมมติฐาน!D83+MAX(0,MIN(G39,สมมติฐาน!D84)-สมมติฐาน!D82)*สมมติฐาน!D85+MAX(0,MIN(G39,สมมติฐาน!D86)-สมมติฐาน!D84)*สมมติฐาน!D87+MAX(0,MIN(G39,สมมติฐาน!D88)-สมมติฐาน!D86)*สมมติฐาน!D89+MAX(0,MIN(G39,สมมติฐาน!D90)-สมมติฐาน!D88)*สมมติฐาน!D91+MAX(0,MIN(G39,สมมติฐาน!D92)-สมมติฐาน!D90)*สมมติฐาน!D93+MAX(0,G39-สมมติฐาน!D92)*สมมติฐาน!D94)</f>
        <v>0</v>
      </c>
      <c r="H40" s="18">
        <f>-(MAX(0,MIN(H39,สมมติฐาน!D80)-0)*สมมติฐาน!D81+MAX(0,MIN(H39,สมมติฐาน!D82)-สมมติฐาน!D80)*สมมติฐาน!D83+MAX(0,MIN(H39,สมมติฐาน!D84)-สมมติฐาน!D82)*สมมติฐาน!D85+MAX(0,MIN(H39,สมมติฐาน!D86)-สมมติฐาน!D84)*สมมติฐาน!D87+MAX(0,MIN(H39,สมมติฐาน!D88)-สมมติฐาน!D86)*สมมติฐาน!D89+MAX(0,MIN(H39,สมมติฐาน!D90)-สมมติฐาน!D88)*สมมติฐาน!D91+MAX(0,MIN(H39,สมมติฐาน!D92)-สมมติฐาน!D90)*สมมติฐาน!D93+MAX(0,H39-สมมติฐาน!D92)*สมมติฐาน!D94)</f>
        <v>0</v>
      </c>
    </row>
    <row r="41" spans="2:8" x14ac:dyDescent="0.3">
      <c r="B41" s="15" t="s">
        <v>206</v>
      </c>
      <c r="D41" s="30">
        <f>D37+D40</f>
        <v>-144450</v>
      </c>
      <c r="E41" s="30">
        <f>E37+E40</f>
        <v>-37980</v>
      </c>
      <c r="F41" s="30">
        <f>F37+F40</f>
        <v>68490</v>
      </c>
      <c r="G41" s="30">
        <f>G37+G40</f>
        <v>119952.87476635515</v>
      </c>
      <c r="H41" s="30">
        <f>H37+H40</f>
        <v>219546.98411214951</v>
      </c>
    </row>
    <row r="42" spans="2:8" x14ac:dyDescent="0.3">
      <c r="B42" s="15" t="s">
        <v>207</v>
      </c>
      <c r="D42" s="30">
        <f>D14*12</f>
        <v>-144450</v>
      </c>
      <c r="E42" s="30">
        <f>E14*12</f>
        <v>-37980</v>
      </c>
      <c r="F42" s="30">
        <f>F14*12</f>
        <v>61641</v>
      </c>
      <c r="G42" s="30">
        <f>G14*12</f>
        <v>107957.58728971962</v>
      </c>
      <c r="H42" s="30">
        <f>H14*12</f>
        <v>197592.28570093456</v>
      </c>
    </row>
    <row r="43" spans="2:8" x14ac:dyDescent="0.3">
      <c r="B43" s="37" t="s">
        <v>208</v>
      </c>
      <c r="D43" s="38">
        <f>D42-D41</f>
        <v>0</v>
      </c>
      <c r="E43" s="38">
        <f>E42-E41</f>
        <v>0</v>
      </c>
      <c r="F43" s="38">
        <f>F42-F41</f>
        <v>-6849</v>
      </c>
      <c r="G43" s="38">
        <f>G42-G41</f>
        <v>-11995.287476635523</v>
      </c>
      <c r="H43" s="38">
        <f>H42-H41</f>
        <v>-21954.698411214951</v>
      </c>
    </row>
    <row r="45" spans="2:8" ht="40.049999999999997" customHeight="1" x14ac:dyDescent="0.3">
      <c r="B45" s="1" t="s">
        <v>209</v>
      </c>
    </row>
  </sheetData>
  <mergeCells count="6">
    <mergeCell ref="B22:H22"/>
    <mergeCell ref="B9:H9"/>
    <mergeCell ref="B1:H1"/>
    <mergeCell ref="B4:H4"/>
    <mergeCell ref="B34:H34"/>
    <mergeCell ref="B28:H2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75"/>
  <sheetViews>
    <sheetView showGridLines="0" workbookViewId="0"/>
  </sheetViews>
  <sheetFormatPr defaultRowHeight="14.4" x14ac:dyDescent="0.3"/>
  <cols>
    <col min="1" max="1" width="3" customWidth="1"/>
    <col min="2" max="2" width="46" customWidth="1"/>
    <col min="3" max="3" width="3" customWidth="1"/>
    <col min="4" max="4" width="16" customWidth="1"/>
  </cols>
  <sheetData>
    <row r="1" spans="2:4" ht="22.05" customHeight="1" x14ac:dyDescent="0.3">
      <c r="B1" s="41" t="s">
        <v>210</v>
      </c>
      <c r="C1" s="42"/>
      <c r="D1" s="42"/>
    </row>
    <row r="2" spans="2:4" x14ac:dyDescent="0.3">
      <c r="B2" s="1" t="s">
        <v>211</v>
      </c>
    </row>
    <row r="4" spans="2:4" x14ac:dyDescent="0.3">
      <c r="B4" s="43" t="s">
        <v>212</v>
      </c>
      <c r="C4" s="44"/>
      <c r="D4" s="44"/>
    </row>
    <row r="5" spans="2:4" x14ac:dyDescent="0.3">
      <c r="B5" s="3" t="s">
        <v>38</v>
      </c>
      <c r="D5" s="22">
        <f>สมมติฐาน!D39</f>
        <v>0.85</v>
      </c>
    </row>
    <row r="6" spans="2:4" x14ac:dyDescent="0.3">
      <c r="B6" s="3" t="s">
        <v>39</v>
      </c>
      <c r="D6" s="22">
        <f>สมมติฐาน!D40</f>
        <v>0.85</v>
      </c>
    </row>
    <row r="7" spans="2:4" x14ac:dyDescent="0.3">
      <c r="B7" s="3" t="s">
        <v>40</v>
      </c>
      <c r="D7" s="22">
        <f>สมมติฐาน!D41</f>
        <v>0.85</v>
      </c>
    </row>
    <row r="8" spans="2:4" x14ac:dyDescent="0.3">
      <c r="B8" s="3" t="s">
        <v>41</v>
      </c>
      <c r="D8" s="22">
        <f>สมมติฐาน!D42</f>
        <v>0.85</v>
      </c>
    </row>
    <row r="9" spans="2:4" x14ac:dyDescent="0.3">
      <c r="B9" s="9" t="s">
        <v>42</v>
      </c>
      <c r="D9" s="39">
        <f>สมมติฐาน!D43</f>
        <v>0.85</v>
      </c>
    </row>
    <row r="11" spans="2:4" x14ac:dyDescent="0.3">
      <c r="B11" s="43" t="s">
        <v>213</v>
      </c>
      <c r="C11" s="44"/>
      <c r="D11" s="44"/>
    </row>
    <row r="12" spans="2:4" x14ac:dyDescent="0.3">
      <c r="B12" s="3" t="s">
        <v>214</v>
      </c>
      <c r="D12" s="40">
        <f>สมมติฐาน!D33*สมมติฐาน!D39</f>
        <v>25.5</v>
      </c>
    </row>
    <row r="13" spans="2:4" x14ac:dyDescent="0.3">
      <c r="B13" s="3" t="s">
        <v>98</v>
      </c>
      <c r="D13" s="18">
        <f>D12*สมมติฐาน!D29</f>
        <v>89250</v>
      </c>
    </row>
    <row r="14" spans="2:4" x14ac:dyDescent="0.3">
      <c r="B14" s="3" t="s">
        <v>215</v>
      </c>
      <c r="D14" s="40">
        <f>สมมติฐาน!D33*สมมติฐาน!D40</f>
        <v>25.5</v>
      </c>
    </row>
    <row r="15" spans="2:4" x14ac:dyDescent="0.3">
      <c r="B15" s="3" t="s">
        <v>99</v>
      </c>
      <c r="D15" s="18">
        <f>D14*สมมติฐาน!D30</f>
        <v>89250</v>
      </c>
    </row>
    <row r="16" spans="2:4" x14ac:dyDescent="0.3">
      <c r="B16" s="3" t="s">
        <v>216</v>
      </c>
      <c r="D16" s="40">
        <f>สมมติฐาน!D33*สมมติฐาน!D41</f>
        <v>25.5</v>
      </c>
    </row>
    <row r="17" spans="2:4" x14ac:dyDescent="0.3">
      <c r="B17" s="3" t="s">
        <v>100</v>
      </c>
      <c r="D17" s="18">
        <f>D16*สมมติฐาน!D31</f>
        <v>0</v>
      </c>
    </row>
    <row r="18" spans="2:4" x14ac:dyDescent="0.3">
      <c r="B18" s="3" t="s">
        <v>217</v>
      </c>
      <c r="D18" s="40">
        <f>สมมติฐาน!D33*สมมติฐาน!D42</f>
        <v>25.5</v>
      </c>
    </row>
    <row r="19" spans="2:4" x14ac:dyDescent="0.3">
      <c r="B19" s="3" t="s">
        <v>101</v>
      </c>
      <c r="D19" s="18">
        <f>D18*สมมติฐาน!D32</f>
        <v>0</v>
      </c>
    </row>
    <row r="20" spans="2:4" x14ac:dyDescent="0.3">
      <c r="B20" s="3" t="s">
        <v>102</v>
      </c>
      <c r="D20" s="18">
        <f>D13+D15+D17+D19</f>
        <v>178500</v>
      </c>
    </row>
    <row r="21" spans="2:4" x14ac:dyDescent="0.3">
      <c r="B21" s="3" t="s">
        <v>218</v>
      </c>
      <c r="D21" s="18">
        <f>-D20*สมมติฐาน!D46</f>
        <v>-27667.5</v>
      </c>
    </row>
    <row r="22" spans="2:4" x14ac:dyDescent="0.3">
      <c r="B22" s="3" t="s">
        <v>219</v>
      </c>
      <c r="D22" s="18">
        <f>D20+D21</f>
        <v>150832.5</v>
      </c>
    </row>
    <row r="23" spans="2:4" x14ac:dyDescent="0.3">
      <c r="B23" s="3" t="s">
        <v>220</v>
      </c>
      <c r="D23" s="18">
        <f>สมมติฐาน!D34</f>
        <v>0</v>
      </c>
    </row>
    <row r="24" spans="2:4" x14ac:dyDescent="0.3">
      <c r="B24" s="3" t="s">
        <v>221</v>
      </c>
      <c r="D24" s="18">
        <f>สมมติฐาน!D35</f>
        <v>0</v>
      </c>
    </row>
    <row r="25" spans="2:4" x14ac:dyDescent="0.3">
      <c r="B25" s="9" t="s">
        <v>108</v>
      </c>
      <c r="D25" s="20">
        <f>D22+D23+D24</f>
        <v>150832.5</v>
      </c>
    </row>
    <row r="27" spans="2:4" x14ac:dyDescent="0.3">
      <c r="B27" s="43" t="s">
        <v>109</v>
      </c>
      <c r="C27" s="44"/>
      <c r="D27" s="44"/>
    </row>
    <row r="28" spans="2:4" x14ac:dyDescent="0.3">
      <c r="B28" s="3" t="s">
        <v>110</v>
      </c>
      <c r="D28" s="18">
        <f>-สมมติฐาน!D6</f>
        <v>-40000</v>
      </c>
    </row>
    <row r="29" spans="2:4" x14ac:dyDescent="0.3">
      <c r="B29" s="3" t="s">
        <v>47</v>
      </c>
      <c r="D29" s="18">
        <f>-สมมติฐาน!D49</f>
        <v>-12000</v>
      </c>
    </row>
    <row r="30" spans="2:4" x14ac:dyDescent="0.3">
      <c r="B30" s="3" t="s">
        <v>111</v>
      </c>
      <c r="D30" s="18">
        <f>-สมมติฐาน!D50</f>
        <v>-30000</v>
      </c>
    </row>
    <row r="31" spans="2:4" x14ac:dyDescent="0.3">
      <c r="B31" s="3" t="s">
        <v>112</v>
      </c>
      <c r="D31" s="18">
        <f>-สมมติฐาน!D51</f>
        <v>-20000</v>
      </c>
    </row>
    <row r="32" spans="2:4" x14ac:dyDescent="0.3">
      <c r="B32" s="3" t="s">
        <v>113</v>
      </c>
      <c r="D32" s="18">
        <f>-สมมติฐาน!D52</f>
        <v>-3000</v>
      </c>
    </row>
    <row r="33" spans="2:4" x14ac:dyDescent="0.3">
      <c r="B33" s="3" t="s">
        <v>114</v>
      </c>
      <c r="D33" s="18">
        <f>-สมมติฐาน!D53</f>
        <v>-800</v>
      </c>
    </row>
    <row r="34" spans="2:4" x14ac:dyDescent="0.3">
      <c r="B34" s="3" t="s">
        <v>52</v>
      </c>
      <c r="D34" s="18">
        <f>-สมมติฐาน!D54</f>
        <v>0</v>
      </c>
    </row>
    <row r="35" spans="2:4" x14ac:dyDescent="0.3">
      <c r="B35" s="3" t="s">
        <v>115</v>
      </c>
      <c r="D35" s="18">
        <f>-สมมติฐาน!D55</f>
        <v>-5000</v>
      </c>
    </row>
    <row r="36" spans="2:4" x14ac:dyDescent="0.3">
      <c r="B36" s="3" t="s">
        <v>54</v>
      </c>
      <c r="D36" s="18">
        <f>-สมมติฐาน!D56</f>
        <v>-2000</v>
      </c>
    </row>
    <row r="37" spans="2:4" x14ac:dyDescent="0.3">
      <c r="B37" s="9" t="s">
        <v>116</v>
      </c>
      <c r="D37" s="20">
        <f>SUM(D28:D36)</f>
        <v>-112800</v>
      </c>
    </row>
    <row r="39" spans="2:4" x14ac:dyDescent="0.3">
      <c r="B39" s="2" t="s">
        <v>222</v>
      </c>
      <c r="D39" s="21">
        <f>D25+D37</f>
        <v>38032.5</v>
      </c>
    </row>
    <row r="41" spans="2:4" x14ac:dyDescent="0.3">
      <c r="B41" s="43" t="s">
        <v>120</v>
      </c>
      <c r="C41" s="44"/>
      <c r="D41" s="44"/>
    </row>
    <row r="42" spans="2:4" x14ac:dyDescent="0.3">
      <c r="B42" s="3" t="s">
        <v>223</v>
      </c>
      <c r="D42" s="18">
        <f>D39*12</f>
        <v>456390</v>
      </c>
    </row>
    <row r="43" spans="2:4" x14ac:dyDescent="0.3">
      <c r="B43" s="8" t="s">
        <v>224</v>
      </c>
      <c r="D43" s="19">
        <f>(D20+D24)*12</f>
        <v>2142000</v>
      </c>
    </row>
    <row r="44" spans="2:4" x14ac:dyDescent="0.3">
      <c r="B44" s="8" t="s">
        <v>123</v>
      </c>
      <c r="D44" s="19">
        <f>IF(D43&gt;สมมติฐาน!D73,D43*สมมติฐาน!D72/(1+สมมติฐาน!D72),0)</f>
        <v>140130.84112149532</v>
      </c>
    </row>
    <row r="45" spans="2:4" x14ac:dyDescent="0.3">
      <c r="B45" s="8" t="s">
        <v>124</v>
      </c>
      <c r="D45" s="19">
        <f>IF(D43&gt;สมมติฐาน!D73,-ABS(D21)*12*สมมติฐาน!D72,0)</f>
        <v>-23240.7</v>
      </c>
    </row>
    <row r="46" spans="2:4" x14ac:dyDescent="0.3">
      <c r="B46" s="3" t="s">
        <v>125</v>
      </c>
      <c r="D46" s="18">
        <f>-MAX(0,D44+D45)</f>
        <v>-116890.14112149533</v>
      </c>
    </row>
    <row r="47" spans="2:4" x14ac:dyDescent="0.3">
      <c r="B47" s="3" t="s">
        <v>126</v>
      </c>
      <c r="D47" s="18">
        <f>-สมมติฐาน!D58</f>
        <v>0</v>
      </c>
    </row>
    <row r="48" spans="2:4" x14ac:dyDescent="0.3">
      <c r="B48" s="9" t="s">
        <v>225</v>
      </c>
      <c r="D48" s="20">
        <f>D42+D46+D47</f>
        <v>339499.85887850466</v>
      </c>
    </row>
    <row r="49" spans="2:4" x14ac:dyDescent="0.3">
      <c r="B49" s="8" t="s">
        <v>226</v>
      </c>
      <c r="D49" s="19">
        <f>-สมมติฐาน!D23/สมมติฐาน!D71</f>
        <v>-350000</v>
      </c>
    </row>
    <row r="50" spans="2:4" x14ac:dyDescent="0.3">
      <c r="B50" s="9" t="s">
        <v>227</v>
      </c>
      <c r="D50" s="20">
        <f>D48+D49</f>
        <v>-10500.14112149534</v>
      </c>
    </row>
    <row r="51" spans="2:4" x14ac:dyDescent="0.3">
      <c r="B51" s="3" t="s">
        <v>130</v>
      </c>
      <c r="D51" s="18">
        <f>-(MAX(0,MIN(D50,สมมติฐาน!D67)-สมมติฐาน!D66)*สมมติฐาน!D68+MAX(0,D50-สมมติฐาน!D67)*สมมติฐาน!D69)</f>
        <v>0</v>
      </c>
    </row>
    <row r="52" spans="2:4" x14ac:dyDescent="0.3">
      <c r="B52" s="9" t="s">
        <v>131</v>
      </c>
      <c r="D52" s="20">
        <f>D48+D51</f>
        <v>339499.85887850466</v>
      </c>
    </row>
    <row r="53" spans="2:4" x14ac:dyDescent="0.3">
      <c r="B53" s="2" t="s">
        <v>132</v>
      </c>
      <c r="D53" s="21">
        <f>D52/12</f>
        <v>28291.654906542055</v>
      </c>
    </row>
    <row r="55" spans="2:4" x14ac:dyDescent="0.3">
      <c r="B55" s="43" t="s">
        <v>228</v>
      </c>
      <c r="C55" s="44"/>
      <c r="D55" s="44"/>
    </row>
    <row r="56" spans="2:4" x14ac:dyDescent="0.3">
      <c r="B56" s="3" t="s">
        <v>229</v>
      </c>
      <c r="D56" s="18">
        <f>สมมติฐาน!D26</f>
        <v>1200000</v>
      </c>
    </row>
    <row r="57" spans="2:4" x14ac:dyDescent="0.3">
      <c r="B57" s="24" t="s">
        <v>149</v>
      </c>
      <c r="D57" s="36">
        <f>IF(D53&lt;=0,"ไม่คืนทุน (ขาดทุนต่อเดือน)",D56/D53)</f>
        <v>42.415334273093954</v>
      </c>
    </row>
    <row r="59" spans="2:4" x14ac:dyDescent="0.3">
      <c r="B59" s="43" t="s">
        <v>230</v>
      </c>
      <c r="C59" s="44"/>
      <c r="D59" s="44"/>
    </row>
    <row r="60" spans="2:4" x14ac:dyDescent="0.3">
      <c r="B60" s="3" t="s">
        <v>231</v>
      </c>
      <c r="D60" s="18">
        <f>D53*สมมติฐาน!D61</f>
        <v>14145.827453271027</v>
      </c>
    </row>
    <row r="61" spans="2:4" x14ac:dyDescent="0.3">
      <c r="B61" s="15" t="s">
        <v>232</v>
      </c>
      <c r="D61" s="30">
        <f>D60-MAX(0,D60)*สมมติฐาน!D70</f>
        <v>12731.244707943924</v>
      </c>
    </row>
    <row r="62" spans="2:4" x14ac:dyDescent="0.3">
      <c r="B62" s="3" t="s">
        <v>233</v>
      </c>
      <c r="D62" s="18">
        <f>D53*สมมติฐาน!D62</f>
        <v>14145.827453271027</v>
      </c>
    </row>
    <row r="63" spans="2:4" x14ac:dyDescent="0.3">
      <c r="B63" s="15" t="s">
        <v>234</v>
      </c>
      <c r="D63" s="30">
        <f>D62-MAX(0,D62)*สมมติฐาน!D70+สมมติฐาน!D51*สมมติฐาน!D63</f>
        <v>12731.244707943924</v>
      </c>
    </row>
    <row r="64" spans="2:4" x14ac:dyDescent="0.3">
      <c r="B64" s="24" t="s">
        <v>235</v>
      </c>
      <c r="D64" s="36">
        <f>IF(D61&lt;=0,"ไม่คืนทุน (ส่วนแบ่งติดลบ)",D56/D61)</f>
        <v>94.256298384653235</v>
      </c>
    </row>
    <row r="66" spans="2:4" x14ac:dyDescent="0.3">
      <c r="B66" s="43" t="s">
        <v>236</v>
      </c>
      <c r="C66" s="44"/>
      <c r="D66" s="44"/>
    </row>
    <row r="67" spans="2:4" x14ac:dyDescent="0.3">
      <c r="B67" s="3" t="s">
        <v>237</v>
      </c>
      <c r="D67" s="18">
        <f>D60*12</f>
        <v>169749.92943925233</v>
      </c>
    </row>
    <row r="68" spans="2:4" x14ac:dyDescent="0.3">
      <c r="B68" s="3" t="s">
        <v>203</v>
      </c>
      <c r="D68" s="18">
        <f>-(MIN(D67*สมมติฐาน!D77,สมมติฐาน!D78)+สมมติฐาน!D79)</f>
        <v>-144874.96471962618</v>
      </c>
    </row>
    <row r="69" spans="2:4" x14ac:dyDescent="0.3">
      <c r="B69" s="3" t="s">
        <v>204</v>
      </c>
      <c r="D69" s="18">
        <f>MAX(0,D67+D68)</f>
        <v>24874.96471962615</v>
      </c>
    </row>
    <row r="70" spans="2:4" x14ac:dyDescent="0.3">
      <c r="B70" s="3" t="s">
        <v>205</v>
      </c>
      <c r="D70" s="18">
        <f>-(MAX(0,MIN(D69,สมมติฐาน!D80)-0)*สมมติฐาน!D81+MAX(0,MIN(D69,สมมติฐาน!D82)-สมมติฐาน!D80)*สมมติฐาน!D83+MAX(0,MIN(D69,สมมติฐาน!D84)-สมมติฐาน!D82)*สมมติฐาน!D85+MAX(0,MIN(D69,สมมติฐาน!D86)-สมมติฐาน!D84)*สมมติฐาน!D87+MAX(0,MIN(D69,สมมติฐาน!D88)-สมมติฐาน!D86)*สมมติฐาน!D89+MAX(0,MIN(D69,สมมติฐาน!D90)-สมมติฐาน!D88)*สมมติฐาน!D91+MAX(0,MIN(D69,สมมติฐาน!D92)-สมมติฐาน!D90)*สมมติฐาน!D93+MAX(0,D69-สมมติฐาน!D92)*สมมติฐาน!D94)</f>
        <v>0</v>
      </c>
    </row>
    <row r="71" spans="2:4" x14ac:dyDescent="0.3">
      <c r="B71" s="15" t="s">
        <v>238</v>
      </c>
      <c r="D71" s="30">
        <f>D67+D70</f>
        <v>169749.92943925233</v>
      </c>
    </row>
    <row r="72" spans="2:4" x14ac:dyDescent="0.3">
      <c r="B72" s="15" t="s">
        <v>239</v>
      </c>
      <c r="D72" s="30">
        <f>D61*12</f>
        <v>152774.9364953271</v>
      </c>
    </row>
    <row r="73" spans="2:4" x14ac:dyDescent="0.3">
      <c r="B73" s="37" t="s">
        <v>240</v>
      </c>
      <c r="D73" s="38">
        <f>D72-D71</f>
        <v>-16974.99294392523</v>
      </c>
    </row>
    <row r="75" spans="2:4" ht="25.95" customHeight="1" x14ac:dyDescent="0.3">
      <c r="B75" s="1" t="s">
        <v>241</v>
      </c>
    </row>
  </sheetData>
  <mergeCells count="8">
    <mergeCell ref="B11:D11"/>
    <mergeCell ref="B59:D59"/>
    <mergeCell ref="B66:D66"/>
    <mergeCell ref="B41:D41"/>
    <mergeCell ref="B1:D1"/>
    <mergeCell ref="B4:D4"/>
    <mergeCell ref="B27:D27"/>
    <mergeCell ref="B55:D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สมมติฐาน</vt:lpstr>
      <vt:lpstr>P&amp;L รายเดือน</vt:lpstr>
      <vt:lpstr>จุดคุ้มทุน-คืนทุน</vt:lpstr>
      <vt:lpstr>กระแสเงินสด</vt:lpstr>
      <vt:lpstr>ส่วนแบ่งหุ้นส่วน</vt:lpstr>
      <vt:lpstr>P&amp;L ปัจจุบัน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HS Brands Global</cp:lastModifiedBy>
  <dcterms:created xsi:type="dcterms:W3CDTF">2026-08-06T06:51:40Z</dcterms:created>
  <dcterms:modified xsi:type="dcterms:W3CDTF">2026-08-06T06:52:03Z</dcterms:modified>
</cp:coreProperties>
</file>